
<file path=[Content_Types].xml><?xml version="1.0" encoding="utf-8"?>
<Types xmlns="http://schemas.openxmlformats.org/package/2006/content-types">
  <Default Extension="wmf" ContentType="image/x-wmf"/>
  <Default Extension="png" ContentType="image/png"/>
  <Default Extension="xml" ContentType="application/xml"/>
  <Default Extension="jpeg" ContentType="image/jpeg"/>
  <Default Extension="rels" ContentType="application/vnd.openxmlformats-package.relationships+xml"/>
  <Default Extension="bin" ContentType="application/vnd.openxmlformats-officedocument.oleObject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42.xml" ContentType="application/vnd.openxmlformats-officedocument.drawing+xml"/>
  <Override PartName="/xl/drawings/drawing15.xml" ContentType="application/vnd.openxmlformats-officedocument.drawing+xml"/>
  <Override PartName="/xl/drawings/drawing45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28.xml" ContentType="application/vnd.openxmlformats-officedocument.drawing+xml"/>
  <Override PartName="/xl/worksheets/sheet35.xml" ContentType="application/vnd.openxmlformats-officedocument.spreadsheetml.worksheet+xml"/>
  <Override PartName="/xl/worksheets/sheet12.xml" ContentType="application/vnd.openxmlformats-officedocument.spreadsheetml.worksheet+xml"/>
  <Override PartName="/xl/worksheets/sheet52.xml" ContentType="application/vnd.openxmlformats-officedocument.spreadsheetml.worksheet+xml"/>
  <Override PartName="/xl/worksheets/sheet4.xml" ContentType="application/vnd.openxmlformats-officedocument.spreadsheetml.worksheet+xml"/>
  <Override PartName="/xl/drawings/drawing25.xml" ContentType="application/vnd.openxmlformats-officedocument.drawing+xml"/>
  <Override PartName="/xl/drawings/drawing8.xml" ContentType="application/vnd.openxmlformats-officedocument.drawing+xml"/>
  <Override PartName="/xl/worksheets/sheet32.xml" ContentType="application/vnd.openxmlformats-officedocument.spreadsheetml.worksheet+xml"/>
  <Override PartName="/xl/drawings/drawing33.xml" ContentType="application/vnd.openxmlformats-officedocument.drawing+xml"/>
  <Override PartName="/xl/worksheets/sheet44.xml" ContentType="application/vnd.openxmlformats-officedocument.spreadsheetml.worksheet+xml"/>
  <Override PartName="/xl/worksheets/sheet13.xml" ContentType="application/vnd.openxmlformats-officedocument.spreadsheetml.worksheet+xml"/>
  <Override PartName="/xl/drawings/drawing2.xml" ContentType="application/vnd.openxmlformats-officedocument.drawing+xml"/>
  <Override PartName="/xl/worksheets/sheet6.xml" ContentType="application/vnd.openxmlformats-officedocument.spreadsheetml.worksheet+xml"/>
  <Override PartName="/xl/drawings/drawing19.xml" ContentType="application/vnd.openxmlformats-officedocument.drawing+xml"/>
  <Override PartName="/xl/drawings/drawing10.xml" ContentType="application/vnd.openxmlformats-officedocument.drawing+xml"/>
  <Override PartName="/xl/worksheets/sheet14.xml" ContentType="application/vnd.openxmlformats-officedocument.spreadsheetml.worksheet+xml"/>
  <Override PartName="/xl/drawings/drawing3.xml" ContentType="application/vnd.openxmlformats-officedocument.drawing+xml"/>
  <Override PartName="/xl/drawings/drawing6.xml" ContentType="application/vnd.openxmlformats-officedocument.drawing+xml"/>
  <Override PartName="/xl/worksheets/sheet84.xml" ContentType="application/vnd.openxmlformats-officedocument.spreadsheetml.worksheet+xml"/>
  <Override PartName="/xl/drawings/drawing31.xml" ContentType="application/vnd.openxmlformats-officedocument.drawing+xml"/>
  <Override PartName="/xl/drawings/drawing17.xml" ContentType="application/vnd.openxmlformats-officedocument.drawing+xml"/>
  <Override PartName="/xl/worksheets/sheet6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0.xml" ContentType="application/vnd.openxmlformats-officedocument.spreadsheetml.worksheet+xml"/>
  <Override PartName="/xl/drawings/drawing7.xml" ContentType="application/vnd.openxmlformats-officedocument.drawing+xml"/>
  <Override PartName="/xl/worksheets/sheet15.xml" ContentType="application/vnd.openxmlformats-officedocument.spreadsheetml.worksheet+xml"/>
  <Override PartName="/xl/worksheets/sheet87.xml" ContentType="application/vnd.openxmlformats-officedocument.spreadsheetml.worksheet+xml"/>
  <Override PartName="/xl/drawings/drawing36.xml" ContentType="application/vnd.openxmlformats-officedocument.drawing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drawings/drawing34.xml" ContentType="application/vnd.openxmlformats-officedocument.drawing+xml"/>
  <Override PartName="/xl/worksheets/sheet46.xml" ContentType="application/vnd.openxmlformats-officedocument.spreadsheetml.worksheet+xml"/>
  <Override PartName="/xl/drawings/drawing16.xml" ContentType="application/vnd.openxmlformats-officedocument.drawing+xml"/>
  <Override PartName="/xl/worksheets/sheet21.xml" ContentType="application/vnd.openxmlformats-officedocument.spreadsheetml.worksheet+xml"/>
  <Override PartName="/xl/worksheets/sheet53.xml" ContentType="application/vnd.openxmlformats-officedocument.spreadsheetml.worksheet+xml"/>
  <Override PartName="/xl/worksheets/sheet36.xml" ContentType="application/vnd.openxmlformats-officedocument.spreadsheetml.worksheet+xml"/>
  <Override PartName="/xl/drawings/drawing23.xml" ContentType="application/vnd.openxmlformats-officedocument.drawing+xml"/>
  <Override PartName="/xl/worksheets/sheet23.xml" ContentType="application/vnd.openxmlformats-officedocument.spreadsheetml.worksheet+xml"/>
  <Override PartName="/xl/drawings/drawing18.xml" ContentType="application/vnd.openxmlformats-officedocument.drawing+xml"/>
  <Override PartName="/xl/drawings/drawing22.xml" ContentType="application/vnd.openxmlformats-officedocument.drawing+xml"/>
  <Override PartName="/xl/worksheets/sheet51.xml" ContentType="application/vnd.openxmlformats-officedocument.spreadsheetml.worksheet+xml"/>
  <Override PartName="/xl/worksheets/sheet78.xml" ContentType="application/vnd.openxmlformats-officedocument.spreadsheetml.worksheet+xml"/>
  <Override PartName="/xl/worksheets/sheet110.xml" ContentType="application/vnd.openxmlformats-officedocument.spreadsheetml.worksheet+xml"/>
  <Override PartName="/xl/worksheets/sheet33.xml" ContentType="application/vnd.openxmlformats-officedocument.spreadsheetml.worksheet+xml"/>
  <Override PartName="/xl/drawings/drawing27.xml" ContentType="application/vnd.openxmlformats-officedocument.drawing+xml"/>
  <Override PartName="/xl/worksheets/sheet104.xml" ContentType="application/vnd.openxmlformats-officedocument.spreadsheetml.worksheet+xml"/>
  <Override PartName="/xl/worksheets/sheet34.xml" ContentType="application/vnd.openxmlformats-officedocument.spreadsheetml.worksheet+xml"/>
  <Override PartName="/xl/worksheets/sheet89.xml" ContentType="application/vnd.openxmlformats-officedocument.spreadsheetml.worksheet+xml"/>
  <Override PartName="/xl/drawings/drawing30.xml" ContentType="application/vnd.openxmlformats-officedocument.drawing+xml"/>
  <Override PartName="/xl/worksheets/sheet102.xml" ContentType="application/vnd.openxmlformats-officedocument.spreadsheetml.worksheet+xml"/>
  <Override PartName="/xl/worksheets/sheet37.xml" ContentType="application/vnd.openxmlformats-officedocument.spreadsheetml.worksheet+xml"/>
  <Override PartName="/xl/worksheets/sheet39.xml" ContentType="application/vnd.openxmlformats-officedocument.spreadsheetml.worksheet+xml"/>
  <Override PartName="/xl/worksheets/sheet41.xml" ContentType="application/vnd.openxmlformats-officedocument.spreadsheetml.worksheet+xml"/>
  <Override PartName="/xl/worksheets/sheet96.xml" ContentType="application/vnd.openxmlformats-officedocument.spreadsheetml.worksheet+xml"/>
  <Override PartName="/xl/worksheets/sheet61.xml" ContentType="application/vnd.openxmlformats-officedocument.spreadsheetml.worksheet+xml"/>
  <Override PartName="/xl/worksheets/sheet43.xml" ContentType="application/vnd.openxmlformats-officedocument.spreadsheetml.worksheet+xml"/>
  <Override PartName="/xl/worksheets/sheet47.xml" ContentType="application/vnd.openxmlformats-officedocument.spreadsheetml.worksheet+xml"/>
  <Override PartName="/xl/drawings/drawing40.xml" ContentType="application/vnd.openxmlformats-officedocument.drawing+xml"/>
  <Override PartName="/xl/worksheets/sheet38.xml" ContentType="application/vnd.openxmlformats-officedocument.spreadsheetml.worksheet+xml"/>
  <Override PartName="/xl/worksheets/sheet57.xml" ContentType="application/vnd.openxmlformats-officedocument.spreadsheetml.worksheet+xml"/>
  <Override PartName="/xl/worksheets/sheet49.xml" ContentType="application/vnd.openxmlformats-officedocument.spreadsheetml.worksheet+xml"/>
  <Override PartName="/xl/drawings/drawing41.xml" ContentType="application/vnd.openxmlformats-officedocument.drawing+xml"/>
  <Override PartName="/xl/worksheets/sheet62.xml" ContentType="application/vnd.openxmlformats-officedocument.spreadsheetml.worksheet+xml"/>
  <Override PartName="/xl/drawings/drawing5.xml" ContentType="application/vnd.openxmlformats-officedocument.drawing+xml"/>
  <Override PartName="/xl/worksheets/sheet97.xml" ContentType="application/vnd.openxmlformats-officedocument.spreadsheetml.worksheet+xml"/>
  <Override PartName="/xl/drawings/drawing35.xml" ContentType="application/vnd.openxmlformats-officedocument.drawing+xml"/>
  <Override PartName="/xl/worksheets/sheet98.xml" ContentType="application/vnd.openxmlformats-officedocument.spreadsheetml.worksheet+xml"/>
  <Override PartName="/xl/drawings/drawing21.xml" ContentType="application/vnd.openxmlformats-officedocument.drawing+xml"/>
  <Override PartName="/xl/drawings/drawing39.xml" ContentType="application/vnd.openxmlformats-officedocument.drawing+xml"/>
  <Override PartName="/xl/worksheets/sheet25.xml" ContentType="application/vnd.openxmlformats-officedocument.spreadsheetml.worksheet+xml"/>
  <Override PartName="/xl/worksheets/sheet111.xml" ContentType="application/vnd.openxmlformats-officedocument.spreadsheetml.worksheet+xml"/>
  <Override PartName="/xl/worksheets/sheet56.xml" ContentType="application/vnd.openxmlformats-officedocument.spreadsheetml.worksheet+xml"/>
  <Override PartName="/xl/drawings/drawing37.xml" ContentType="application/vnd.openxmlformats-officedocument.drawing+xml"/>
  <Override PartName="/xl/worksheets/sheet31.xml" ContentType="application/vnd.openxmlformats-officedocument.spreadsheetml.worksheet+xml"/>
  <Override PartName="/xl/worksheets/sheet48.xml" ContentType="application/vnd.openxmlformats-officedocument.spreadsheetml.worksheet+xml"/>
  <Override PartName="/xl/worksheets/sheet54.xml" ContentType="application/vnd.openxmlformats-officedocument.spreadsheetml.worksheet+xml"/>
  <Override PartName="/xl/worksheets/sheet59.xml" ContentType="application/vnd.openxmlformats-officedocument.spreadsheetml.worksheet+xml"/>
  <Override PartName="/docProps/app.xml" ContentType="application/vnd.openxmlformats-officedocument.extended-properties+xml"/>
  <Override PartName="/xl/worksheets/sheet64.xml" ContentType="application/vnd.openxmlformats-officedocument.spreadsheetml.worksheet+xml"/>
  <Override PartName="/xl/drawings/drawing44.xml" ContentType="application/vnd.openxmlformats-officedocument.drawing+xml"/>
  <Override PartName="/xl/worksheets/sheet67.xml" ContentType="application/vnd.openxmlformats-officedocument.spreadsheetml.worksheet+xml"/>
  <Override PartName="/xl/worksheets/sheet100.xml" ContentType="application/vnd.openxmlformats-officedocument.spreadsheetml.worksheet+xml"/>
  <Override PartName="/xl/worksheets/sheet60.xml" ContentType="application/vnd.openxmlformats-officedocument.spreadsheetml.worksheet+xml"/>
  <Override PartName="/xl/sharedStrings.xml" ContentType="application/vnd.openxmlformats-officedocument.spreadsheetml.sharedStrings+xml"/>
  <Override PartName="/xl/worksheets/sheet28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68.xml" ContentType="application/vnd.openxmlformats-officedocument.spreadsheetml.worksheet+xml"/>
  <Override PartName="/xl/worksheets/sheet76.xml" ContentType="application/vnd.openxmlformats-officedocument.spreadsheetml.worksheet+xml"/>
  <Override PartName="/xl/drawings/drawing46.xml" ContentType="application/vnd.openxmlformats-officedocument.drawing+xml"/>
  <Override PartName="/xl/worksheets/sheet109.xml" ContentType="application/vnd.openxmlformats-officedocument.spreadsheetml.worksheet+xml"/>
  <Override PartName="/xl/worksheets/sheet77.xml" ContentType="application/vnd.openxmlformats-officedocument.spreadsheetml.worksheet+xml"/>
  <Override PartName="/xl/drawings/drawing47.xml" ContentType="application/vnd.openxmlformats-officedocument.drawing+xml"/>
  <Override PartName="/xl/worksheets/sheet24.xml" ContentType="application/vnd.openxmlformats-officedocument.spreadsheetml.worksheet+xml"/>
  <Override PartName="/xl/worksheets/sheet82.xml" ContentType="application/vnd.openxmlformats-officedocument.spreadsheetml.worksheet+xml"/>
  <Override PartName="/xl/worksheets/sheet86.xml" ContentType="application/vnd.openxmlformats-officedocument.spreadsheetml.worksheet+xml"/>
  <Override PartName="/xl/worksheets/sheet17.xml" ContentType="application/vnd.openxmlformats-officedocument.spreadsheetml.worksheet+xml"/>
  <Override PartName="/xl/drawings/drawing48.xml" ContentType="application/vnd.openxmlformats-officedocument.drawing+xml"/>
  <Override PartName="/xl/drawings/drawing53.xml" ContentType="application/vnd.openxmlformats-officedocument.drawing+xml"/>
  <Override PartName="/xl/worksheets/sheet45.xml" ContentType="application/vnd.openxmlformats-officedocument.spreadsheetml.worksheet+xml"/>
  <Override PartName="/xl/worksheets/sheet91.xml" ContentType="application/vnd.openxmlformats-officedocument.spreadsheetml.worksheet+xml"/>
  <Override PartName="/xl/worksheets/sheet93.xml" ContentType="application/vnd.openxmlformats-officedocument.spreadsheetml.worksheet+xml"/>
  <Override PartName="/xl/worksheets/sheet95.xml" ContentType="application/vnd.openxmlformats-officedocument.spreadsheetml.worksheet+xml"/>
  <Override PartName="/xl/worksheets/sheet90.xml" ContentType="application/vnd.openxmlformats-officedocument.spreadsheetml.worksheet+xml"/>
  <Override PartName="/xl/drawings/drawing13.xml" ContentType="application/vnd.openxmlformats-officedocument.drawing+xml"/>
  <Override PartName="/xl/worksheets/sheet103.xml" ContentType="application/vnd.openxmlformats-officedocument.spreadsheetml.worksheet+xml"/>
  <Override PartName="/xl/worksheets/sheet80.xml" ContentType="application/vnd.openxmlformats-officedocument.spreadsheetml.worksheet+xml"/>
  <Override PartName="/xl/worksheets/sheet72.xml" ContentType="application/vnd.openxmlformats-officedocument.spreadsheetml.worksheet+xml"/>
  <Override PartName="/xl/worksheets/sheet16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7.xml" ContentType="application/vnd.openxmlformats-officedocument.spreadsheetml.worksheet+xml"/>
  <Override PartName="/xl/drawings/drawing29.xml" ContentType="application/vnd.openxmlformats-officedocument.drawing+xml"/>
  <Override PartName="/xl/charts/chart76.xml" ContentType="application/vnd.openxmlformats-officedocument.drawingml.chart+xml"/>
  <Override PartName="/xl/charts/chart75.xml" ContentType="application/vnd.openxmlformats-officedocument.drawingml.chart+xml"/>
  <Override PartName="/xl/worksheets/sheet92.xml" ContentType="application/vnd.openxmlformats-officedocument.spreadsheetml.worksheet+xml"/>
  <Override PartName="/xl/charts/chart74.xml" ContentType="application/vnd.openxmlformats-officedocument.drawingml.chart+xml"/>
  <Override PartName="/xl/worksheets/sheet106.xml" ContentType="application/vnd.openxmlformats-officedocument.spreadsheetml.worksheet+xml"/>
  <Override PartName="/xl/charts/chart73.xml" ContentType="application/vnd.openxmlformats-officedocument.drawingml.chart+xml"/>
  <Override PartName="/xl/charts/chart72.xml" ContentType="application/vnd.openxmlformats-officedocument.drawingml.chart+xml"/>
  <Override PartName="/xl/worksheets/sheet71.xml" ContentType="application/vnd.openxmlformats-officedocument.spreadsheetml.worksheet+xml"/>
  <Override PartName="/xl/drawings/drawing14.xml" ContentType="application/vnd.openxmlformats-officedocument.drawing+xml"/>
  <Override PartName="/xl/theme/theme1.xml" ContentType="application/vnd.openxmlformats-officedocument.theme+xml"/>
  <Override PartName="/xl/worksheets/sheet40.xml" ContentType="application/vnd.openxmlformats-officedocument.spreadsheetml.worksheet+xml"/>
  <Override PartName="/xl/charts/chart69.xml" ContentType="application/vnd.openxmlformats-officedocument.drawingml.chart+xml"/>
  <Override PartName="/xl/worksheets/sheet79.xml" ContentType="application/vnd.openxmlformats-officedocument.spreadsheetml.worksheet+xml"/>
  <Override PartName="/xl/charts/chart67.xml" ContentType="application/vnd.openxmlformats-officedocument.drawingml.chart+xml"/>
  <Override PartName="/xl/worksheets/sheet81.xml" ContentType="application/vnd.openxmlformats-officedocument.spreadsheetml.worksheet+xml"/>
  <Override PartName="/xl/charts/chart66.xml" ContentType="application/vnd.openxmlformats-officedocument.drawingml.chart+xml"/>
  <Override PartName="/xl/drawings/drawing20.xml" ContentType="application/vnd.openxmlformats-officedocument.drawing+xml"/>
  <Override PartName="/xl/charts/chart65.xml" ContentType="application/vnd.openxmlformats-officedocument.drawingml.chart+xml"/>
  <Override PartName="/xl/worksheets/sheet88.xml" ContentType="application/vnd.openxmlformats-officedocument.spreadsheetml.worksheet+xml"/>
  <Override PartName="/xl/drawings/drawing52.xml" ContentType="application/vnd.openxmlformats-officedocument.drawing+xml"/>
  <Override PartName="/xl/charts/chart63.xml" ContentType="application/vnd.openxmlformats-officedocument.drawingml.chart+xml"/>
  <Override PartName="/xl/workbook.xml" ContentType="application/vnd.openxmlformats-officedocument.spreadsheetml.sheet.main+xml"/>
  <Override PartName="/xl/charts/chart59.xml" ContentType="application/vnd.openxmlformats-officedocument.drawingml.chart+xml"/>
  <Override PartName="/xl/charts/chart57.xml" ContentType="application/vnd.openxmlformats-officedocument.drawingml.chart+xml"/>
  <Override PartName="/xl/drawings/drawing50.xml" ContentType="application/vnd.openxmlformats-officedocument.drawing+xml"/>
  <Override PartName="/xl/charts/chart55.xml" ContentType="application/vnd.openxmlformats-officedocument.drawingml.chart+xml"/>
  <Override PartName="/xl/worksheets/sheet10.xml" ContentType="application/vnd.openxmlformats-officedocument.spreadsheetml.worksheet+xml"/>
  <Override PartName="/xl/charts/chart52.xml" ContentType="application/vnd.openxmlformats-officedocument.drawingml.chart+xml"/>
  <Override PartName="/xl/charts/chart68.xml" ContentType="application/vnd.openxmlformats-officedocument.drawingml.chart+xml"/>
  <Override PartName="/xl/charts/chart71.xml" ContentType="application/vnd.openxmlformats-officedocument.drawingml.chart+xml"/>
  <Override PartName="/xl/charts/chart51.xml" ContentType="application/vnd.openxmlformats-officedocument.drawingml.chart+xml"/>
  <Override PartName="/xl/drawings/drawing51.xml" ContentType="application/vnd.openxmlformats-officedocument.drawing+xml"/>
  <Override PartName="/xl/charts/chart50.xml" ContentType="application/vnd.openxmlformats-officedocument.drawingml.chart+xml"/>
  <Override PartName="/xl/worksheets/sheet29.xml" ContentType="application/vnd.openxmlformats-officedocument.spreadsheetml.worksheet+xml"/>
  <Override PartName="/xl/worksheets/sheet101.xml" ContentType="application/vnd.openxmlformats-officedocument.spreadsheetml.worksheet+xml"/>
  <Override PartName="/xl/charts/chart49.xml" ContentType="application/vnd.openxmlformats-officedocument.drawingml.chart+xml"/>
  <Override PartName="/xl/worksheets/sheet26.xml" ContentType="application/vnd.openxmlformats-officedocument.spreadsheetml.worksheet+xml"/>
  <Override PartName="/xl/charts/chart48.xml" ContentType="application/vnd.openxmlformats-officedocument.drawingml.chart+xml"/>
  <Override PartName="/xl/worksheets/sheet50.xml" ContentType="application/vnd.openxmlformats-officedocument.spreadsheetml.worksheet+xml"/>
  <Override PartName="/xl/worksheets/sheet113.xml" ContentType="application/vnd.openxmlformats-officedocument.spreadsheetml.worksheet+xml"/>
  <Override PartName="/xl/charts/chart58.xml" ContentType="application/vnd.openxmlformats-officedocument.drawingml.chart+xml"/>
  <Override PartName="/xl/charts/chart46.xml" ContentType="application/vnd.openxmlformats-officedocument.drawingml.chart+xml"/>
  <Override PartName="/xl/charts/chart56.xml" ContentType="application/vnd.openxmlformats-officedocument.drawingml.chart+xml"/>
  <Override PartName="/xl/charts/chart45.xml" ContentType="application/vnd.openxmlformats-officedocument.drawingml.chart+xml"/>
  <Override PartName="/xl/charts/chart42.xml" ContentType="application/vnd.openxmlformats-officedocument.drawingml.chart+xml"/>
  <Override PartName="/xl/charts/chart60.xml" ContentType="application/vnd.openxmlformats-officedocument.drawingml.chart+xml"/>
  <Override PartName="/xl/charts/chart40.xml" ContentType="application/vnd.openxmlformats-officedocument.drawingml.chart+xml"/>
  <Override PartName="/xl/charts/chart39.xml" ContentType="application/vnd.openxmlformats-officedocument.drawingml.chart+xml"/>
  <Override PartName="/xl/drawings/drawing26.xml" ContentType="application/vnd.openxmlformats-officedocument.drawing+xml"/>
  <Override PartName="/xl/charts/chart37.xml" ContentType="application/vnd.openxmlformats-officedocument.drawingml.chart+xml"/>
  <Override PartName="/xl/charts/chart36.xml" ContentType="application/vnd.openxmlformats-officedocument.drawingml.chart+xml"/>
  <Override PartName="/xl/charts/chart41.xml" ContentType="application/vnd.openxmlformats-officedocument.drawingml.chart+xml"/>
  <Override PartName="/xl/charts/chart35.xml" ContentType="application/vnd.openxmlformats-officedocument.drawingml.chart+xml"/>
  <Override PartName="/xl/charts/chart62.xml" ContentType="application/vnd.openxmlformats-officedocument.drawingml.chart+xml"/>
  <Override PartName="/xl/charts/chart33.xml" ContentType="application/vnd.openxmlformats-officedocument.drawingml.chart+xml"/>
  <Override PartName="/xl/drawings/drawing24.xml" ContentType="application/vnd.openxmlformats-officedocument.drawing+xml"/>
  <Override PartName="/xl/charts/chart28.xml" ContentType="application/vnd.openxmlformats-officedocument.drawingml.chart+xml"/>
  <Override PartName="/xl/drawings/drawing9.xml" ContentType="application/vnd.openxmlformats-officedocument.drawing+xml"/>
  <Override PartName="/xl/drawings/drawing32.xml" ContentType="application/vnd.openxmlformats-officedocument.drawing+xml"/>
  <Override PartName="/xl/charts/chart27.xml" ContentType="application/vnd.openxmlformats-officedocument.drawingml.chart+xml"/>
  <Override PartName="/xl/charts/chart70.xml" ContentType="application/vnd.openxmlformats-officedocument.drawingml.chart+xml"/>
  <Override PartName="/xl/charts/chart26.xml" ContentType="application/vnd.openxmlformats-officedocument.drawingml.chart+xml"/>
  <Override PartName="/xl/worksheets/sheet7.xml" ContentType="application/vnd.openxmlformats-officedocument.spreadsheetml.worksheet+xml"/>
  <Override PartName="/xl/charts/chart44.xml" ContentType="application/vnd.openxmlformats-officedocument.drawingml.chart+xml"/>
  <Override PartName="/xl/worksheets/sheet112.xml" ContentType="application/vnd.openxmlformats-officedocument.spreadsheetml.worksheet+xml"/>
  <Override PartName="/xl/worksheets/sheet66.xml" ContentType="application/vnd.openxmlformats-officedocument.spreadsheetml.worksheet+xml"/>
  <Override PartName="/xl/charts/chart32.xml" ContentType="application/vnd.openxmlformats-officedocument.drawingml.chart+xml"/>
  <Override PartName="/xl/worksheets/sheet55.xml" ContentType="application/vnd.openxmlformats-officedocument.spreadsheetml.worksheet+xml"/>
  <Override PartName="/xl/charts/chart64.xml" ContentType="application/vnd.openxmlformats-officedocument.drawingml.chart+xml"/>
  <Override PartName="/xl/worksheets/sheet42.xml" ContentType="application/vnd.openxmlformats-officedocument.spreadsheetml.worksheet+xml"/>
  <Override PartName="/xl/charts/chart23.xml" ContentType="application/vnd.openxmlformats-officedocument.drawingml.chart+xml"/>
  <Override PartName="/xl/charts/chart22.xml" ContentType="application/vnd.openxmlformats-officedocument.drawingml.chart+xml"/>
  <Override PartName="/xl/charts/chart34.xml" ContentType="application/vnd.openxmlformats-officedocument.drawingml.chart+xml"/>
  <Override PartName="/xl/charts/chart21.xml" ContentType="application/vnd.openxmlformats-officedocument.drawingml.chart+xml"/>
  <Override PartName="/xl/worksheets/sheet108.xml" ContentType="application/vnd.openxmlformats-officedocument.spreadsheetml.worksheet+xml"/>
  <Override PartName="/xl/charts/chart61.xml" ContentType="application/vnd.openxmlformats-officedocument.drawingml.chart+xml"/>
  <Override PartName="/xl/charts/chart30.xml" ContentType="application/vnd.openxmlformats-officedocument.drawingml.chart+xml"/>
  <Override PartName="/xl/charts/chart77.xml" ContentType="application/vnd.openxmlformats-officedocument.drawingml.chart+xml"/>
  <Override PartName="/xl/worksheets/sheet11.xml" ContentType="application/vnd.openxmlformats-officedocument.spreadsheetml.worksheet+xml"/>
  <Override PartName="/xl/charts/chart47.xml" ContentType="application/vnd.openxmlformats-officedocument.drawingml.chart+xml"/>
  <Override PartName="/xl/charts/chart17.xml" ContentType="application/vnd.openxmlformats-officedocument.drawingml.chart+xml"/>
  <Override PartName="/xl/worksheets/sheet27.xml" ContentType="application/vnd.openxmlformats-officedocument.spreadsheetml.worksheet+xml"/>
  <Override PartName="/xl/charts/chart16.xml" ContentType="application/vnd.openxmlformats-officedocument.drawingml.chart+xml"/>
  <Override PartName="/xl/worksheets/sheet58.xml" ContentType="application/vnd.openxmlformats-officedocument.spreadsheetml.worksheet+xml"/>
  <Override PartName="/xl/worksheets/sheet20.xml" ContentType="application/vnd.openxmlformats-officedocument.spreadsheetml.worksheet+xml"/>
  <Override PartName="/xl/worksheets/sheet99.xml" ContentType="application/vnd.openxmlformats-officedocument.spreadsheetml.worksheet+xml"/>
  <Override PartName="/xl/charts/chart15.xml" ContentType="application/vnd.openxmlformats-officedocument.drawingml.chart+xml"/>
  <Override PartName="/xl/worksheets/sheet5.xml" ContentType="application/vnd.openxmlformats-officedocument.spreadsheetml.worksheet+xml"/>
  <Override PartName="/xl/charts/chart14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charts/chart31.xml" ContentType="application/vnd.openxmlformats-officedocument.drawingml.chart+xml"/>
  <Override PartName="/xl/worksheets/sheet69.xml" ContentType="application/vnd.openxmlformats-officedocument.spreadsheetml.workshee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drawings/drawing43.xml" ContentType="application/vnd.openxmlformats-officedocument.drawing+xml"/>
  <Override PartName="/xl/charts/chart6.xml" ContentType="application/vnd.openxmlformats-officedocument.drawingml.chart+xml"/>
  <Override PartName="/xl/worksheets/sheet65.xml" ContentType="application/vnd.openxmlformats-officedocument.spreadsheetml.worksheet+xml"/>
  <Override PartName="/xl/charts/chart5.xml" ContentType="application/vnd.openxmlformats-officedocument.drawingml.chart+xml"/>
  <Override PartName="/xl/charts/chart38.xml" ContentType="application/vnd.openxmlformats-officedocument.drawingml.chart+xml"/>
  <Override PartName="/xl/charts/chart13.xml" ContentType="application/vnd.openxmlformats-officedocument.drawingml.chart+xml"/>
  <Override PartName="/xl/drawings/drawing1.xml" ContentType="application/vnd.openxmlformats-officedocument.drawing+xml"/>
  <Override PartName="/xl/charts/chart12.xml" ContentType="application/vnd.openxmlformats-officedocument.drawingml.chart+xml"/>
  <Override PartName="/xl/worksheets/sheet85.xml" ContentType="application/vnd.openxmlformats-officedocument.spreadsheetml.worksheet+xml"/>
  <Override PartName="/xl/charts/chart53.xml" ContentType="application/vnd.openxmlformats-officedocument.drawingml.chart+xml"/>
  <Override PartName="/xl/charts/chart18.xml" ContentType="application/vnd.openxmlformats-officedocument.drawingml.chart+xml"/>
  <Override PartName="/xl/drawings/drawing38.xml" ContentType="application/vnd.openxmlformats-officedocument.drawing+xml"/>
  <Override PartName="/xl/charts/chart25.xml" ContentType="application/vnd.openxmlformats-officedocument.drawingml.chart+xml"/>
  <Override PartName="/xl/worksheets/sheet94.xml" ContentType="application/vnd.openxmlformats-officedocument.spreadsheetml.worksheet+xml"/>
  <Override PartName="/xl/charts/chart4.xml" ContentType="application/vnd.openxmlformats-officedocument.drawingml.chart+xml"/>
  <Override PartName="/xl/charts/chart20.xml" ContentType="application/vnd.openxmlformats-officedocument.drawingml.chart+xml"/>
  <Override PartName="/xl/charts/chart54.xml" ContentType="application/vnd.openxmlformats-officedocument.drawingml.chart+xml"/>
  <Override PartName="/xl/charts/chart9.xml" ContentType="application/vnd.openxmlformats-officedocument.drawingml.chart+xml"/>
  <Override PartName="/xl/charts/chart7.xml" ContentType="application/vnd.openxmlformats-officedocument.drawingml.chart+xml"/>
  <Override PartName="/xl/worksheets/sheet73.xml" ContentType="application/vnd.openxmlformats-officedocument.spreadsheetml.worksheet+xml"/>
  <Override PartName="/xl/drawings/drawing4.xml" ContentType="application/vnd.openxmlformats-officedocument.drawing+xml"/>
  <Override PartName="/xl/charts/chart24.xml" ContentType="application/vnd.openxmlformats-officedocument.drawingml.chart+xml"/>
  <Override PartName="/xl/styles.xml" ContentType="application/vnd.openxmlformats-officedocument.spreadsheetml.styles+xml"/>
  <Override PartName="/xl/worksheets/sheet70.xml" ContentType="application/vnd.openxmlformats-officedocument.spreadsheetml.worksheet+xml"/>
  <Override PartName="/xl/drawings/drawing49.xml" ContentType="application/vnd.openxmlformats-officedocument.drawing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charts/chart19.xml" ContentType="application/vnd.openxmlformats-officedocument.drawingml.chart+xml"/>
  <Override PartName="/xl/worksheets/sheet83.xml" ContentType="application/vnd.openxmlformats-officedocument.spreadsheetml.worksheet+xml"/>
  <Override PartName="/xl/charts/chart29.xml" ContentType="application/vnd.openxmlformats-officedocument.drawingml.chart+xml"/>
  <Override PartName="/xl/charts/chart43.xml" ContentType="application/vnd.openxmlformats-officedocument.drawingml.chart+xml"/>
  <Override PartName="/xl/charts/chart10.xml" ContentType="application/vnd.openxmlformats-officedocument.drawingml.chart+xml"/>
  <Override PartName="/xl/charts/chart1.xml" ContentType="application/vnd.openxmlformats-officedocument.drawingml.chart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Sharing userName="mvc" readOnlyRecommended="0"/>
  <workbookPr/>
  <bookViews>
    <workbookView xWindow="360" yWindow="15" windowWidth="20955" windowHeight="9720" activeTab="108"/>
  </bookViews>
  <sheets>
    <sheet name="TOC0" sheetId="1" state="visible" r:id="rId1"/>
    <sheet name="TOC" sheetId="2" state="visible" r:id="rId2"/>
    <sheet name="Error" sheetId="3" state="visible" r:id="rId3"/>
    <sheet name="DM" sheetId="4" state="visible" r:id="rId4"/>
    <sheet name="PT" sheetId="5" state="visible" r:id="rId5"/>
    <sheet name="Moving" sheetId="6" state="visible" r:id="rId6"/>
    <sheet name="Moving 1" sheetId="7" state="visible" r:id="rId7"/>
    <sheet name="Moving 1a" sheetId="8" state="visible" r:id="rId8"/>
    <sheet name="Weighted" sheetId="9" state="visible" r:id="rId9"/>
    <sheet name="Weighted 2" sheetId="10" state="visible" r:id="rId10"/>
    <sheet name="Exp" sheetId="11" state="visible" r:id="rId11"/>
    <sheet name="Exp 1" sheetId="12" state="visible" r:id="rId12"/>
    <sheet name="Exp 1a" sheetId="13" state="visible" r:id="rId13"/>
    <sheet name="Exp 2" sheetId="14" state="visible" r:id="rId14"/>
    <sheet name="Exp 3" sheetId="15" state="visible" r:id="rId15"/>
    <sheet name="Holt" sheetId="16" state="visible" r:id="rId16"/>
    <sheet name="Holt 2" sheetId="17" state="visible" r:id="rId17"/>
    <sheet name="Holt 3" sheetId="18" state="visible" r:id="rId18"/>
    <sheet name="Holt 4" sheetId="19" state="visible" r:id="rId19"/>
    <sheet name="Holt 5" sheetId="20" state="visible" r:id="rId20"/>
    <sheet name="Holt-Winter" sheetId="21" state="visible" r:id="rId21"/>
    <sheet name="Holt-Winter 1" sheetId="22" state="visible" r:id="rId22"/>
    <sheet name="Holt-Winter 2" sheetId="23" state="visible" r:id="rId23"/>
    <sheet name="Holt-Winter 3" sheetId="24" state="visible" r:id="rId24"/>
    <sheet name="Holt-Winters 4" sheetId="25" state="visible" r:id="rId25"/>
    <sheet name="Holt-Winters 4a" sheetId="26" state="visible" r:id="rId26"/>
    <sheet name="Holt-Winters 5" sheetId="27" state="visible" r:id="rId27"/>
    <sheet name="HoltWinters 6" sheetId="28" state="visible" r:id="rId28"/>
    <sheet name="Stationary" sheetId="29" state="visible" r:id="rId29"/>
    <sheet name="ACF 0" sheetId="30" state="visible" r:id="rId30"/>
    <sheet name="ACF" sheetId="31" state="visible" r:id="rId31"/>
    <sheet name="PACF 1" sheetId="32" state="visible" r:id="rId32"/>
    <sheet name="Correlogram" sheetId="33" state="visible" r:id="rId33"/>
    <sheet name="WN 1" sheetId="34" state="visible" r:id="rId34"/>
    <sheet name="RW 1" sheetId="35" state="visible" r:id="rId35"/>
    <sheet name="RW 1a" sheetId="36" state="visible" r:id="rId36"/>
    <sheet name="DT 1" sheetId="37" state="visible" r:id="rId37"/>
    <sheet name="DT 1a" sheetId="38" state="visible" r:id="rId38"/>
    <sheet name="Test 1" sheetId="39" state="visible" r:id="rId39"/>
    <sheet name="Test 2" sheetId="40" state="visible" r:id="rId40"/>
    <sheet name="DF 0" sheetId="41" state="visible" r:id="rId41"/>
    <sheet name="DF 1" sheetId="42" state="visible" r:id="rId42"/>
    <sheet name="DF 2" sheetId="43" state="visible" r:id="rId43"/>
    <sheet name="ADF" sheetId="44" state="visible" r:id="rId44"/>
    <sheet name="PP KPSS" sheetId="45" state="visible" r:id="rId45"/>
    <sheet name="Missing 1" sheetId="46" state="visible" r:id="rId46"/>
    <sheet name="Missing 2" sheetId="47" state="visible" r:id="rId47"/>
    <sheet name="Missing 3" sheetId="48" state="visible" r:id="rId48"/>
    <sheet name="Missing 4" sheetId="49" state="visible" r:id="rId49"/>
    <sheet name="AR 1" sheetId="50" state="visible" r:id="rId50"/>
    <sheet name="AR 1a" sheetId="51" state="visible" r:id="rId51"/>
    <sheet name="AR 1b" sheetId="52" state="visible" r:id="rId52"/>
    <sheet name="AR 1c" sheetId="53" state="visible" r:id="rId53"/>
    <sheet name="AR 1d" sheetId="54" state="visible" r:id="rId54"/>
    <sheet name="AR 2" sheetId="55" state="visible" r:id="rId55"/>
    <sheet name="AR 2a" sheetId="56" state="visible" r:id="rId56"/>
    <sheet name="AR 2b" sheetId="57" state="visible" r:id="rId57"/>
    <sheet name="AR 2c" sheetId="58" state="visible" r:id="rId58"/>
    <sheet name="AR 2d" sheetId="59" state="visible" r:id="rId59"/>
    <sheet name="AR 3" sheetId="60" state="visible" r:id="rId60"/>
    <sheet name="AR 4" sheetId="61" state="visible" r:id="rId61"/>
    <sheet name="MA" sheetId="62" state="visible" r:id="rId62"/>
    <sheet name="MA 1" sheetId="63" state="visible" r:id="rId63"/>
    <sheet name="MA 2" sheetId="64" state="visible" r:id="rId64"/>
    <sheet name="MA 3" sheetId="65" state="visible" r:id="rId65"/>
    <sheet name="MA 4" sheetId="66" state="visible" r:id="rId66"/>
    <sheet name="MA 5" sheetId="67" state="visible" r:id="rId67"/>
    <sheet name="MA 6" sheetId="68" state="visible" r:id="rId68"/>
    <sheet name="MA 7" sheetId="69" state="visible" r:id="rId69"/>
    <sheet name="MA 8" sheetId="70" state="visible" r:id="rId70"/>
    <sheet name="ARMA 1.1" sheetId="71" state="visible" r:id="rId71"/>
    <sheet name="ARMA 1.1a" sheetId="72" state="visible" r:id="rId72"/>
    <sheet name="ARMA 1.1b" sheetId="73" state="visible" r:id="rId73"/>
    <sheet name="ARMA 1.1c" sheetId="74" state="visible" r:id="rId74"/>
    <sheet name="ARMA 1.1d" sheetId="75" state="visible" r:id="rId75"/>
    <sheet name="ARMA 1.1dd" sheetId="76" state="visible" r:id="rId76"/>
    <sheet name="ARMA 1.1e" sheetId="77" state="visible" r:id="rId77"/>
    <sheet name="ARMA 1.1ee" sheetId="78" state="visible" r:id="rId78"/>
    <sheet name="ARMA 1.1f" sheetId="79" state="visible" r:id="rId79"/>
    <sheet name="ARMA 2.1" sheetId="80" state="visible" r:id="rId80"/>
    <sheet name="ARMA 2.2" sheetId="81" state="visible" r:id="rId81"/>
    <sheet name="Diff" sheetId="82" state="visible" r:id="rId82"/>
    <sheet name="ARIMA 1" sheetId="83" state="visible" r:id="rId83"/>
    <sheet name="ARIMA 1a" sheetId="84" state="visible" r:id="rId84"/>
    <sheet name="ARIMA 2" sheetId="85" state="visible" r:id="rId85"/>
    <sheet name="ARIMA 2a" sheetId="86" state="visible" r:id="rId86"/>
    <sheet name="ARIMA 3" sheetId="87" state="visible" r:id="rId87"/>
    <sheet name="ARIMA 3a" sheetId="88" state="visible" r:id="rId88"/>
    <sheet name="SARIMA" sheetId="89" state="visible" r:id="rId89"/>
    <sheet name="SARIMA 1" sheetId="90" state="visible" r:id="rId90"/>
    <sheet name="MK" sheetId="91" state="visible" r:id="rId91"/>
    <sheet name="Sen" sheetId="92" state="visible" r:id="rId92"/>
    <sheet name="MK Tool" sheetId="93" state="visible" r:id="rId93"/>
    <sheet name="MK + Sen" sheetId="94" state="visible" r:id="rId94"/>
    <sheet name="Granger 1" sheetId="95" state="visible" r:id="rId95"/>
    <sheet name="Granger 2" sheetId="96" state="visible" r:id="rId96"/>
    <sheet name="Granger 3" sheetId="97" state="visible" r:id="rId97"/>
    <sheet name="Granger 4" sheetId="98" state="visible" r:id="rId98"/>
    <sheet name="Engle" sheetId="99" state="visible" r:id="rId99"/>
    <sheet name="Cross" sheetId="100" state="visible" r:id="rId100"/>
    <sheet name="ARIMAX" sheetId="101" state="visible" r:id="rId101"/>
    <sheet name="ARIMAX 1" sheetId="102" state="visible" r:id="rId102"/>
    <sheet name="Crime" sheetId="103" state="visible" r:id="rId103"/>
    <sheet name="Diff 2" sheetId="104" state="visible" r:id="rId104"/>
    <sheet name="Demean 2" sheetId="105" state="visible" r:id="rId105"/>
    <sheet name="Diff 3" sheetId="106" state="visible" r:id="rId106"/>
    <sheet name="Demean 3" sheetId="107" state="visible" r:id="rId107"/>
    <sheet name="LSDV" sheetId="108" state="visible" r:id="rId108"/>
    <sheet name="REM" sheetId="109" state="visible" r:id="rId109"/>
    <sheet name="Markov" sheetId="110" state="visible" r:id="rId110"/>
    <sheet name="Markov 1" sheetId="111" state="visible" r:id="rId111"/>
    <sheet name="ADF Table" sheetId="112" state="visible" r:id="rId112"/>
    <sheet name="EG Table" sheetId="113" state="visible" r:id="rId113"/>
  </sheets>
  <definedNames>
    <definedName name="DataRange" localSheetId="12">#REF!</definedName>
    <definedName name="DataRange" localSheetId="17">#REF!</definedName>
    <definedName name="DataRange">#REF!</definedName>
  </definedNames>
  <calcPr/>
</workbook>
</file>

<file path=xl/sharedStrings.xml><?xml version="1.0" encoding="utf-8"?>
<sst xmlns="http://schemas.openxmlformats.org/spreadsheetml/2006/main" count="701" uniqueCount="701">
  <si>
    <t xml:space="preserve">Real Statistics Using Excel - Time Series Examples Workbook</t>
  </si>
  <si>
    <t xml:space="preserve">Charles Zaiontz, 4 March 2022</t>
  </si>
  <si>
    <t xml:space="preserve">Copyright © 2013 - 2022 Charles Zaiontz</t>
  </si>
  <si>
    <t xml:space="preserve">Concise Table of Contents</t>
  </si>
  <si>
    <t xml:space="preserve">Forecast Accuracy</t>
  </si>
  <si>
    <t xml:space="preserve">Basic Forecasting Methods</t>
  </si>
  <si>
    <t xml:space="preserve">Stochastic Processes</t>
  </si>
  <si>
    <t xml:space="preserve">Autoregressive Processes</t>
  </si>
  <si>
    <t xml:space="preserve">Moving Average Processes</t>
  </si>
  <si>
    <t xml:space="preserve">ARMA Processes</t>
  </si>
  <si>
    <t xml:space="preserve">ARIMA Processes</t>
  </si>
  <si>
    <t xml:space="preserve">SARIMA Processes</t>
  </si>
  <si>
    <t xml:space="preserve">Panel Data</t>
  </si>
  <si>
    <t xml:space="preserve">Miscellaneous Topics</t>
  </si>
  <si>
    <t xml:space="preserve">Statistical tables</t>
  </si>
  <si>
    <t xml:space="preserve">Table of Contents</t>
  </si>
  <si>
    <t xml:space="preserve">Error Statistics</t>
  </si>
  <si>
    <t xml:space="preserve">Error statistics</t>
  </si>
  <si>
    <t xml:space="preserve">Diebold-Mariano Test</t>
  </si>
  <si>
    <t xml:space="preserve">Diebold-Mariano Test and Comparison of Forecasts</t>
  </si>
  <si>
    <t xml:space="preserve">HLN Test</t>
  </si>
  <si>
    <t xml:space="preserve">Pesaran-Timmermann Test</t>
  </si>
  <si>
    <t xml:space="preserve">Simple Moving Average</t>
  </si>
  <si>
    <t xml:space="preserve">Moving Average Forecast (Example 1)</t>
  </si>
  <si>
    <t xml:space="preserve">Excel's Moving Average data analysis tool</t>
  </si>
  <si>
    <t xml:space="preserve">Real Statistics Moving Average  data analysis tool</t>
  </si>
  <si>
    <t xml:space="preserve">Weighted Moving Average</t>
  </si>
  <si>
    <t xml:space="preserve">Weighted Moving Average (Example 1)</t>
  </si>
  <si>
    <t xml:space="preserve">Optimization of Weighted Moving Average using Solver (Example 2)</t>
  </si>
  <si>
    <t xml:space="preserve">Simple Exponential Smoothing</t>
  </si>
  <si>
    <t xml:space="preserve">Simple Exponential Smoothing (Example 1)</t>
  </si>
  <si>
    <t xml:space="preserve">Excel's Exponential Smoothing data analysis tool</t>
  </si>
  <si>
    <t xml:space="preserve">Real Statistics Single Exponential Smoothing data analysis tool</t>
  </si>
  <si>
    <t xml:space="preserve">Optimization of Simple Exponential Smoothing using Solver (Example 2)</t>
  </si>
  <si>
    <t xml:space="preserve">Real Statistics Simple Exponrntial Smoothing data analysis tool with optimization</t>
  </si>
  <si>
    <t xml:space="preserve">Holt's Linear Trend</t>
  </si>
  <si>
    <t xml:space="preserve">Holt's Linear Trend (Example 1)</t>
  </si>
  <si>
    <t xml:space="preserve">Optimization of Holt's Method using Solver (Example 2)</t>
  </si>
  <si>
    <t xml:space="preserve">Optimization of Holt's Method using Solver (minimize MSE)</t>
  </si>
  <si>
    <t xml:space="preserve">Forecasting using Holt's Linear Trend (Example 3)</t>
  </si>
  <si>
    <t xml:space="preserve">Real Statistics Holt's Linear Trend data analysis tool</t>
  </si>
  <si>
    <t xml:space="preserve">Real Statistics Holt's Linear Trend data analysis tool with optimization</t>
  </si>
  <si>
    <t xml:space="preserve">Holt-Winters Seasonal Model</t>
  </si>
  <si>
    <t xml:space="preserve">Holt-Winters Multiplicative (Example 1)</t>
  </si>
  <si>
    <t xml:space="preserve">Holt-Winters Multiplicative (Example 2)</t>
  </si>
  <si>
    <t xml:space="preserve">Optimization of Holt-Winters Multiplicative using Solver</t>
  </si>
  <si>
    <t xml:space="preserve">Holt-Winters Additive</t>
  </si>
  <si>
    <t xml:space="preserve">Holt-Winters Additive data analysis tool</t>
  </si>
  <si>
    <t xml:space="preserve">Real Statistics Data Analysis Tools</t>
  </si>
  <si>
    <t xml:space="preserve">Holt-Winters Multiplicative Tool</t>
  </si>
  <si>
    <t xml:space="preserve">Holt-Winters Multiplicative Tool with optimization</t>
  </si>
  <si>
    <t xml:space="preserve">Holt-Winters Multiplicative Tool using MultiStart</t>
  </si>
  <si>
    <t xml:space="preserve">Stationary Process</t>
  </si>
  <si>
    <t xml:space="preserve">Dow Jones Time Series (Example 1)</t>
  </si>
  <si>
    <t xml:space="preserve">Lag 1 Differencing</t>
  </si>
  <si>
    <t xml:space="preserve">Autocorrelation Function</t>
  </si>
  <si>
    <t xml:space="preserve">Autocorrelation Function (Example 1)</t>
  </si>
  <si>
    <t xml:space="preserve">ACF and Correlogram (Example 2)</t>
  </si>
  <si>
    <t xml:space="preserve">Bartlett's Test (Example 3)</t>
  </si>
  <si>
    <t xml:space="preserve">Box-Pierce Test (Example 4)</t>
  </si>
  <si>
    <t xml:space="preserve">Ljung-Box Test (Example 4)</t>
  </si>
  <si>
    <t xml:space="preserve">Partial Autocorrelation Function</t>
  </si>
  <si>
    <t xml:space="preserve">PACF (Example 1)</t>
  </si>
  <si>
    <t xml:space="preserve">Calculation of PACF(4)</t>
  </si>
  <si>
    <t xml:space="preserve">Bartlett's test for PACF</t>
  </si>
  <si>
    <t>Correlogram</t>
  </si>
  <si>
    <t xml:space="preserve">Correlogram ACF</t>
  </si>
  <si>
    <t xml:space="preserve">Correlogram PACF</t>
  </si>
  <si>
    <t xml:space="preserve">Purely Random Time Series</t>
  </si>
  <si>
    <t xml:space="preserve">White Noise Simulation (Example 1)</t>
  </si>
  <si>
    <t xml:space="preserve">ACF and PACF for white noise</t>
  </si>
  <si>
    <t xml:space="preserve">Random Walk</t>
  </si>
  <si>
    <t xml:space="preserve">Random Walk Simulation (Example 1)</t>
  </si>
  <si>
    <t xml:space="preserve">First differences of RW</t>
  </si>
  <si>
    <t xml:space="preserve">Deterministic Trend</t>
  </si>
  <si>
    <t xml:space="preserve">Simulation (Example 1)</t>
  </si>
  <si>
    <t>Detrending</t>
  </si>
  <si>
    <t xml:space="preserve">Dickey-Fuller Test</t>
  </si>
  <si>
    <t xml:space="preserve">Example 1 (no constant, no trend)</t>
  </si>
  <si>
    <t xml:space="preserve">Example 1 (constant, no trend)</t>
  </si>
  <si>
    <t xml:space="preserve">Example 1 (constant, trend)</t>
  </si>
  <si>
    <t xml:space="preserve">Real Statistics data analysis tool</t>
  </si>
  <si>
    <t xml:space="preserve">Testing tool (Example 1)</t>
  </si>
  <si>
    <t xml:space="preserve">Testing tool (Example 2)</t>
  </si>
  <si>
    <t xml:space="preserve">Handling missing time series data</t>
  </si>
  <si>
    <t xml:space="preserve">Imputation techniques</t>
  </si>
  <si>
    <t xml:space="preserve">Imputation techniques for seasonal time series</t>
  </si>
  <si>
    <t xml:space="preserve">Split seasonality</t>
  </si>
  <si>
    <t>Deseasonality</t>
  </si>
  <si>
    <t xml:space="preserve">Basic Concepts</t>
  </si>
  <si>
    <t xml:space="preserve">Simulated AR(1) Process (Example 1)</t>
  </si>
  <si>
    <t xml:space="preserve">ACF for AR(1) Process</t>
  </si>
  <si>
    <t xml:space="preserve">Partial Autocorrelation</t>
  </si>
  <si>
    <t xml:space="preserve">PACF for AR(1) Process (Example 1)</t>
  </si>
  <si>
    <t xml:space="preserve">ACF and PACF for AR(2) Process (Example 2)</t>
  </si>
  <si>
    <t xml:space="preserve">Finding Model Coefficients using ACF/PACF</t>
  </si>
  <si>
    <t xml:space="preserve">Calculating coefficients for AR(1) process (Example 1)</t>
  </si>
  <si>
    <t xml:space="preserve">Calculating coefficients for AR(2) process (Example 2)</t>
  </si>
  <si>
    <t xml:space="preserve">Finding Model Coefficients using Least squares</t>
  </si>
  <si>
    <t xml:space="preserve">Calculating coefficients for AR(2) process using Regression</t>
  </si>
  <si>
    <t xml:space="preserve">Calculating coefficients for AR(1) process using Solver</t>
  </si>
  <si>
    <t xml:space="preserve">Calculating coefficients for AR(2) process using Solver</t>
  </si>
  <si>
    <t xml:space="preserve">Augmented Dickey-Fuller Test</t>
  </si>
  <si>
    <t xml:space="preserve">ADF Test (Example 1)</t>
  </si>
  <si>
    <t xml:space="preserve">PP and KPSS Tests</t>
  </si>
  <si>
    <t xml:space="preserve">PP and KPSS Test (Example 1)</t>
  </si>
  <si>
    <t xml:space="preserve">Simulated MA(1) Process (Example 1)</t>
  </si>
  <si>
    <t xml:space="preserve">ACF for MA(1) Process</t>
  </si>
  <si>
    <t xml:space="preserve">PACF for MA(1) Process (Example 2)</t>
  </si>
  <si>
    <t xml:space="preserve">Infinite Moving Average Process</t>
  </si>
  <si>
    <r>
      <t xml:space="preserve">Represent AR(1) process as an MA(</t>
    </r>
    <r>
      <rPr>
        <b val="false"/>
        <i val="false"/>
        <u val="single"/>
        <sz val="11"/>
        <color rgb="FF0563C1"/>
        <rFont val="Times New Roman"/>
      </rPr>
      <t>∞</t>
    </r>
    <r>
      <rPr>
        <b val="false"/>
        <i val="false"/>
        <u val="single"/>
        <sz val="11"/>
        <color rgb="FF0563C1"/>
        <rFont val="Calibri"/>
      </rPr>
      <t xml:space="preserve">) process (Example 1)</t>
    </r>
  </si>
  <si>
    <r>
      <t xml:space="preserve">Represent AR(2) process as an MA(</t>
    </r>
    <r>
      <rPr>
        <b val="false"/>
        <i val="false"/>
        <u val="single"/>
        <sz val="11"/>
        <color rgb="FF0563C1"/>
        <rFont val="Times New Roman"/>
      </rPr>
      <t>∞</t>
    </r>
    <r>
      <rPr>
        <b val="false"/>
        <i val="false"/>
        <u val="single"/>
        <sz val="11"/>
        <color rgb="FF0563C1"/>
        <rFont val="Calibri"/>
      </rPr>
      <t xml:space="preserve">) process (Example 2)</t>
    </r>
  </si>
  <si>
    <t>Invertibility</t>
  </si>
  <si>
    <t xml:space="preserve">Roots of the characteristic equation for MA(3) process (Example 1)</t>
  </si>
  <si>
    <t xml:space="preserve">Estimating Coefficients of an MA(q) Process using ACF</t>
  </si>
  <si>
    <t xml:space="preserve">Estimating MA(1) coefficients (Example 1)</t>
  </si>
  <si>
    <t xml:space="preserve">Confidence interval</t>
  </si>
  <si>
    <t xml:space="preserve">Estimating Coefficients of an MA(q) Process using Solver</t>
  </si>
  <si>
    <t xml:space="preserve">Estimating MA(2) coefficients (Example 2)</t>
  </si>
  <si>
    <t xml:space="preserve">Estimating MA(3) coefficients (extra example)</t>
  </si>
  <si>
    <t xml:space="preserve">ARMA(1,1) Processes</t>
  </si>
  <si>
    <t xml:space="preserve">Psi coefficients for ARMA(1,1) process (Example 1)</t>
  </si>
  <si>
    <t xml:space="preserve">Simulate ARMA(1,1) process without constant (Example 2)</t>
  </si>
  <si>
    <t xml:space="preserve">Simulate ARMA(1,1) process with constant (Example 3)</t>
  </si>
  <si>
    <t xml:space="preserve">Estimating ARMA Coefficients using Solver</t>
  </si>
  <si>
    <t xml:space="preserve">ARMA(1,1) process without constant</t>
  </si>
  <si>
    <t xml:space="preserve">ARMA(1,1) process with constant</t>
  </si>
  <si>
    <t>Forecasting</t>
  </si>
  <si>
    <t xml:space="preserve">Real Statistics ARMA Tool</t>
  </si>
  <si>
    <t xml:space="preserve">ARMA(2,1) process</t>
  </si>
  <si>
    <t xml:space="preserve">ARMA(2,2) process</t>
  </si>
  <si>
    <t xml:space="preserve">Options to Real Statistics ARMA Tool</t>
  </si>
  <si>
    <t xml:space="preserve">Linear regression option for AR(3) model (Example 1)</t>
  </si>
  <si>
    <t>Differencing</t>
  </si>
  <si>
    <t xml:space="preserve">Differencing (Example 1)</t>
  </si>
  <si>
    <t xml:space="preserve">Finding model coefficients</t>
  </si>
  <si>
    <t xml:space="preserve">Finding ARIMA(2,1,1) coefficients without constant (Example 1)</t>
  </si>
  <si>
    <t xml:space="preserve">Finding ARIMA(2,1,1) coefficients with constant</t>
  </si>
  <si>
    <t xml:space="preserve">Finding ARIMA(2,1,2) coefficients</t>
  </si>
  <si>
    <t xml:space="preserve">Comparing models</t>
  </si>
  <si>
    <t xml:space="preserve">AIC and BIC (Example 1)</t>
  </si>
  <si>
    <t xml:space="preserve">Forecasting using an ARIMA(2,1,1) model without constant (Example 1)</t>
  </si>
  <si>
    <t xml:space="preserve">Amazon Example using Solver</t>
  </si>
  <si>
    <t xml:space="preserve">Amazon Example using Levenberg-Marquardt</t>
  </si>
  <si>
    <t xml:space="preserve">Formatting panel data</t>
  </si>
  <si>
    <t xml:space="preserve">Panel data format</t>
  </si>
  <si>
    <t xml:space="preserve">Two time periods</t>
  </si>
  <si>
    <t>Demeaning</t>
  </si>
  <si>
    <t xml:space="preserve">Fixed-effects model</t>
  </si>
  <si>
    <t>LSDV</t>
  </si>
  <si>
    <t xml:space="preserve">Random-effects model</t>
  </si>
  <si>
    <t>REM</t>
  </si>
  <si>
    <t>Miscellaneous</t>
  </si>
  <si>
    <t xml:space="preserve">Mann-Kendall Test and Sen's Slope</t>
  </si>
  <si>
    <t xml:space="preserve">Mann-Kendall Test</t>
  </si>
  <si>
    <t xml:space="preserve">Sen's Slope</t>
  </si>
  <si>
    <t xml:space="preserve">Real Statistics Tool for MK Tests and Sen's Slope</t>
  </si>
  <si>
    <t xml:space="preserve">MK Test and Sen's Slope</t>
  </si>
  <si>
    <t xml:space="preserve">Granger Causality Test</t>
  </si>
  <si>
    <t xml:space="preserve">Before differencing</t>
  </si>
  <si>
    <t xml:space="preserve">After differencing</t>
  </si>
  <si>
    <t xml:space="preserve">Test in one direction</t>
  </si>
  <si>
    <t xml:space="preserve">Test in other direction</t>
  </si>
  <si>
    <t>Cointegration</t>
  </si>
  <si>
    <t xml:space="preserve">Engle-Granger Test</t>
  </si>
  <si>
    <t xml:space="preserve">Cross Correlations</t>
  </si>
  <si>
    <t xml:space="preserve">Cross correlation example</t>
  </si>
  <si>
    <t>ARIMAX</t>
  </si>
  <si>
    <t xml:space="preserve">ARIMAX Example</t>
  </si>
  <si>
    <t xml:space="preserve">Real Statistics example with forecast</t>
  </si>
  <si>
    <t>Tables</t>
  </si>
  <si>
    <t xml:space="preserve">Augmented Dickey-Fuller Table</t>
  </si>
  <si>
    <t xml:space="preserve">Engle-Granger Table</t>
  </si>
  <si>
    <t>data</t>
  </si>
  <si>
    <t>forecast1</t>
  </si>
  <si>
    <t>forecast2</t>
  </si>
  <si>
    <t>n</t>
  </si>
  <si>
    <t xml:space="preserve">Real Statistics Analysis</t>
  </si>
  <si>
    <t>i</t>
  </si>
  <si>
    <t xml:space="preserve">error 1</t>
  </si>
  <si>
    <t xml:space="preserve">error 2</t>
  </si>
  <si>
    <t>d</t>
  </si>
  <si>
    <t>gamma</t>
  </si>
  <si>
    <t>s.e.</t>
  </si>
  <si>
    <t>dm</t>
  </si>
  <si>
    <t xml:space="preserve">Squared errors</t>
  </si>
  <si>
    <t xml:space="preserve">Sqr errors</t>
  </si>
  <si>
    <t>Order</t>
  </si>
  <si>
    <t xml:space="preserve">DM Stat</t>
  </si>
  <si>
    <t>p-value</t>
  </si>
  <si>
    <t xml:space="preserve">HLN Stat</t>
  </si>
  <si>
    <t>d-mean</t>
  </si>
  <si>
    <t>d-var</t>
  </si>
  <si>
    <t>forecast</t>
  </si>
  <si>
    <t>Size</t>
  </si>
  <si>
    <t>Pyz</t>
  </si>
  <si>
    <t>Py</t>
  </si>
  <si>
    <t>Pz</t>
  </si>
  <si>
    <t>P*</t>
  </si>
  <si>
    <t>V</t>
  </si>
  <si>
    <t>W</t>
  </si>
  <si>
    <t>PT</t>
  </si>
  <si>
    <t>=1-NORM.S.DIST(E11,TRUE)</t>
  </si>
  <si>
    <t>alpha</t>
  </si>
  <si>
    <t>sig</t>
  </si>
  <si>
    <t xml:space="preserve">Excel data analysis tool</t>
  </si>
  <si>
    <t>t</t>
  </si>
  <si>
    <t>y</t>
  </si>
  <si>
    <t>pred</t>
  </si>
  <si>
    <t>|e|</t>
  </si>
  <si>
    <t>e^2</t>
  </si>
  <si>
    <t>MAE</t>
  </si>
  <si>
    <t>MSE</t>
  </si>
  <si>
    <t xml:space="preserve">Moving Average (Excel data analysis tool)</t>
  </si>
  <si>
    <t xml:space="preserve">Simple Moving Average (Real Statistics)</t>
  </si>
  <si>
    <t>lower</t>
  </si>
  <si>
    <t>upper</t>
  </si>
  <si>
    <t>&gt;</t>
  </si>
  <si>
    <t>MAPE</t>
  </si>
  <si>
    <t>w</t>
  </si>
  <si>
    <t xml:space="preserve">Single Exponential Smoothing</t>
  </si>
  <si>
    <t xml:space="preserve">Exponential Smoothing (Excel data analysis tool)</t>
  </si>
  <si>
    <t xml:space="preserve">alpha </t>
  </si>
  <si>
    <t>(default)</t>
  </si>
  <si>
    <t xml:space="preserve">damping factor = 1 - alpha</t>
  </si>
  <si>
    <t xml:space="preserve">Exponential Smoothing (Real Statistics data analysis tool)</t>
  </si>
  <si>
    <t xml:space="preserve">Exponential Smoothing</t>
  </si>
  <si>
    <t xml:space="preserve">Single Exponential Smoothing (MAE)</t>
  </si>
  <si>
    <t>yhat</t>
  </si>
  <si>
    <t>RMSE</t>
  </si>
  <si>
    <t xml:space="preserve">sig level</t>
  </si>
  <si>
    <t>u</t>
  </si>
  <si>
    <t>v</t>
  </si>
  <si>
    <t>beta</t>
  </si>
  <si>
    <r>
      <t xml:space="preserve">Holt's Method</t>
    </r>
    <r>
      <rPr>
        <b val="false"/>
        <i val="false"/>
        <sz val="11"/>
        <rFont val="Calibri"/>
      </rPr>
      <t xml:space="preserve"> (minimize MAE)</t>
    </r>
  </si>
  <si>
    <t xml:space="preserve">Holt's Method</t>
  </si>
  <si>
    <t xml:space="preserve">Holt's Method (Real Statistics)</t>
  </si>
  <si>
    <r>
      <t xml:space="preserve">Holt's Method </t>
    </r>
    <r>
      <rPr>
        <b val="false"/>
        <i val="false"/>
        <sz val="11"/>
        <rFont val="Calibri"/>
      </rPr>
      <t xml:space="preserve">(minimize MSE)</t>
    </r>
  </si>
  <si>
    <t xml:space="preserve">Holt Linear Trend</t>
  </si>
  <si>
    <t xml:space="preserve">Holt-Winters Multiplicative</t>
  </si>
  <si>
    <t>qtr</t>
  </si>
  <si>
    <t>s</t>
  </si>
  <si>
    <t xml:space="preserve">10 Q1</t>
  </si>
  <si>
    <t xml:space="preserve">10 Q2</t>
  </si>
  <si>
    <t xml:space="preserve">10 Q3</t>
  </si>
  <si>
    <t xml:space="preserve">10 Q4</t>
  </si>
  <si>
    <t xml:space="preserve">11 Q1</t>
  </si>
  <si>
    <t xml:space="preserve">11 Q2</t>
  </si>
  <si>
    <t xml:space="preserve">11 Q3</t>
  </si>
  <si>
    <t xml:space="preserve">11 Q4</t>
  </si>
  <si>
    <t xml:space="preserve">12 Q1</t>
  </si>
  <si>
    <t xml:space="preserve">12 Q2</t>
  </si>
  <si>
    <t xml:space="preserve">12 Q3</t>
  </si>
  <si>
    <t xml:space="preserve">12 Q4</t>
  </si>
  <si>
    <t xml:space="preserve">13 Q1</t>
  </si>
  <si>
    <t xml:space="preserve">13 Q2</t>
  </si>
  <si>
    <t xml:space="preserve">13 Q3</t>
  </si>
  <si>
    <t xml:space="preserve">13 Q4</t>
  </si>
  <si>
    <t>Holt-Winters</t>
  </si>
  <si>
    <t>month</t>
  </si>
  <si>
    <t xml:space="preserve">14 Q1</t>
  </si>
  <si>
    <t xml:space="preserve">14 Q2</t>
  </si>
  <si>
    <t xml:space="preserve">14 Q3</t>
  </si>
  <si>
    <t xml:space="preserve">14 Q4</t>
  </si>
  <si>
    <t>Q1</t>
  </si>
  <si>
    <t>Q2</t>
  </si>
  <si>
    <t>Q3</t>
  </si>
  <si>
    <t>Q4</t>
  </si>
  <si>
    <t>α+γ</t>
  </si>
  <si>
    <t xml:space="preserve">Holt-Winters (Real Statistics)</t>
  </si>
  <si>
    <t xml:space="preserve">Holt-Winter Multiplicative</t>
  </si>
  <si>
    <t xml:space="preserve">Holt-Winter Additive</t>
  </si>
  <si>
    <t xml:space="preserve">Holt-Winters (additive)</t>
  </si>
  <si>
    <t xml:space="preserve">15 Q1</t>
  </si>
  <si>
    <t xml:space="preserve">16 Q2</t>
  </si>
  <si>
    <t xml:space="preserve">Stationary Time Series</t>
  </si>
  <si>
    <t>Date</t>
  </si>
  <si>
    <t>Dow</t>
  </si>
  <si>
    <t>Diff</t>
  </si>
  <si>
    <t xml:space="preserve">Autocorrelation Function (ACF)</t>
  </si>
  <si>
    <r>
      <t>s</t>
    </r>
    <r>
      <rPr>
        <b val="false"/>
        <i val="false"/>
        <vertAlign val="subscript"/>
        <sz val="11"/>
        <rFont val="Calibri"/>
      </rPr>
      <t>2</t>
    </r>
  </si>
  <si>
    <t>=COVARIANCE.S(B4:B21,B6:B23)</t>
  </si>
  <si>
    <r>
      <t>r</t>
    </r>
    <r>
      <rPr>
        <b val="false"/>
        <i val="false"/>
        <vertAlign val="subscript"/>
        <sz val="11"/>
        <rFont val="Calibri"/>
      </rPr>
      <t>2</t>
    </r>
  </si>
  <si>
    <t>mean</t>
  </si>
  <si>
    <r>
      <t>s</t>
    </r>
    <r>
      <rPr>
        <b val="false"/>
        <i val="false"/>
        <vertAlign val="subscript"/>
        <sz val="11"/>
        <rFont val="Calibri"/>
      </rPr>
      <t>0</t>
    </r>
  </si>
  <si>
    <t>=VAR.P(B4:B23)</t>
  </si>
  <si>
    <t>devsq</t>
  </si>
  <si>
    <t>=SUMPRODUCT(B4:B21-E7,B6:B23-E7)/E9</t>
  </si>
  <si>
    <t>Bartlett</t>
  </si>
  <si>
    <t>Box-Pierce</t>
  </si>
  <si>
    <t>Ljung-Box</t>
  </si>
  <si>
    <t>Lag</t>
  </si>
  <si>
    <t>ACF</t>
  </si>
  <si>
    <t xml:space="preserve">Oct 1, 2015</t>
  </si>
  <si>
    <t>df</t>
  </si>
  <si>
    <t xml:space="preserve">Oct 2, 2015</t>
  </si>
  <si>
    <t xml:space="preserve">Oct 5, 2015</t>
  </si>
  <si>
    <t>crit</t>
  </si>
  <si>
    <t>=NORM.INV(1-P5/2,0,P4)</t>
  </si>
  <si>
    <t>=CHISQ.INV.RT(U5,U4)</t>
  </si>
  <si>
    <t>=CHISQ.INV.RT(Z5,Z4)</t>
  </si>
  <si>
    <t xml:space="preserve">Oct 6, 2015</t>
  </si>
  <si>
    <t>k</t>
  </si>
  <si>
    <t>Q</t>
  </si>
  <si>
    <t>LB</t>
  </si>
  <si>
    <t xml:space="preserve">Oct 7, 2015</t>
  </si>
  <si>
    <t>=CHISQ.DIST.RT(U7,U4)</t>
  </si>
  <si>
    <t>=CHISQ.DIST.RT(Z7,Z4)</t>
  </si>
  <si>
    <t xml:space="preserve">Oct 8, 2015</t>
  </si>
  <si>
    <t>=1-NORM.DIST(P8,0,P4,TRUE)</t>
  </si>
  <si>
    <t xml:space="preserve">Oct 9, 2015</t>
  </si>
  <si>
    <t xml:space="preserve">Oct 12, 2015</t>
  </si>
  <si>
    <t xml:space="preserve">Oct 13, 2015</t>
  </si>
  <si>
    <t xml:space="preserve">Oct 14, 2015</t>
  </si>
  <si>
    <t xml:space="preserve">Oct 15, 2015</t>
  </si>
  <si>
    <t xml:space="preserve">Oct 16, 2015</t>
  </si>
  <si>
    <t xml:space="preserve">Oct 19, 2015</t>
  </si>
  <si>
    <t xml:space="preserve">Oct 20, 2015</t>
  </si>
  <si>
    <t xml:space="preserve">Oct 21, 2015</t>
  </si>
  <si>
    <t xml:space="preserve">Oct 22, 2015</t>
  </si>
  <si>
    <t xml:space="preserve">Oct 23, 2015</t>
  </si>
  <si>
    <t xml:space="preserve">Oct 26, 2015</t>
  </si>
  <si>
    <t xml:space="preserve">Oct 27, 2015</t>
  </si>
  <si>
    <t xml:space="preserve">Oct 28, 2015</t>
  </si>
  <si>
    <t xml:space="preserve">Oct 29, 2015</t>
  </si>
  <si>
    <t xml:space="preserve">Oct 30, 2015</t>
  </si>
  <si>
    <t xml:space="preserve">Partial Autocorrelation Function (PACF)</t>
  </si>
  <si>
    <t>ACVF</t>
  </si>
  <si>
    <t>PACF</t>
  </si>
  <si>
    <r>
      <t>p</t>
    </r>
    <r>
      <rPr>
        <b val="false"/>
        <i val="false"/>
        <vertAlign val="subscript"/>
        <sz val="11"/>
        <rFont val="Calibri"/>
      </rPr>
      <t>4</t>
    </r>
  </si>
  <si>
    <r>
      <t>p</t>
    </r>
    <r>
      <rPr>
        <b val="false"/>
        <i val="false"/>
        <vertAlign val="subscript"/>
        <sz val="11"/>
        <rFont val="Calibri"/>
      </rPr>
      <t>2,4</t>
    </r>
  </si>
  <si>
    <t>=1-NORM.DIST(K34,0,K30,TRUE)</t>
  </si>
  <si>
    <t>lags</t>
  </si>
  <si>
    <t>acf</t>
  </si>
  <si>
    <t>pacf</t>
  </si>
  <si>
    <t xml:space="preserve">White Noise</t>
  </si>
  <si>
    <t xml:space="preserve">Confidence Interval</t>
  </si>
  <si>
    <t xml:space="preserve">Ljung-Box Test</t>
  </si>
  <si>
    <t xml:space="preserve">conf int</t>
  </si>
  <si>
    <t xml:space="preserve">right crit</t>
  </si>
  <si>
    <t xml:space="preserve">left crit</t>
  </si>
  <si>
    <t>var</t>
  </si>
  <si>
    <t>Residual</t>
  </si>
  <si>
    <t>Y</t>
  </si>
  <si>
    <t>B1</t>
  </si>
  <si>
    <t>=NORM.INV(RAND(),0,.5)</t>
  </si>
  <si>
    <t>C1</t>
  </si>
  <si>
    <t>C2</t>
  </si>
  <si>
    <t>=NORM.INV(RAND(),0,1)</t>
  </si>
  <si>
    <t>Detrend</t>
  </si>
  <si>
    <t xml:space="preserve">Time Series Testing data analysis tool</t>
  </si>
  <si>
    <t xml:space="preserve">Diff Data:</t>
  </si>
  <si>
    <t>Autcorrelation</t>
  </si>
  <si>
    <t xml:space="preserve">White noise test:</t>
  </si>
  <si>
    <t xml:space="preserve">ADF Test</t>
  </si>
  <si>
    <t>time</t>
  </si>
  <si>
    <t>lag</t>
  </si>
  <si>
    <t>test</t>
  </si>
  <si>
    <t>stat</t>
  </si>
  <si>
    <t>criteria</t>
  </si>
  <si>
    <t>schwert</t>
  </si>
  <si>
    <t>ljung-box</t>
  </si>
  <si>
    <t>drift</t>
  </si>
  <si>
    <t>yes</t>
  </si>
  <si>
    <t>trend</t>
  </si>
  <si>
    <t>no</t>
  </si>
  <si>
    <t xml:space="preserve">Time Series Testing data analysis tool with differencing</t>
  </si>
  <si>
    <t>profit</t>
  </si>
  <si>
    <t xml:space="preserve">Δ profit</t>
  </si>
  <si>
    <t xml:space="preserve">Regression Analysis</t>
  </si>
  <si>
    <t xml:space="preserve">DF Test</t>
  </si>
  <si>
    <t xml:space="preserve">OVERALL FIT</t>
  </si>
  <si>
    <t>none</t>
  </si>
  <si>
    <t xml:space="preserve">Multiple R</t>
  </si>
  <si>
    <t>AIC</t>
  </si>
  <si>
    <t xml:space="preserve">R Square</t>
  </si>
  <si>
    <t>AICc</t>
  </si>
  <si>
    <t>tau</t>
  </si>
  <si>
    <t xml:space="preserve">Adjusted R Square</t>
  </si>
  <si>
    <t>BSC</t>
  </si>
  <si>
    <t>tau-crit</t>
  </si>
  <si>
    <t xml:space="preserve">Standard Error</t>
  </si>
  <si>
    <t>stationary</t>
  </si>
  <si>
    <t>Observations</t>
  </si>
  <si>
    <t>ANOVA</t>
  </si>
  <si>
    <t>Alpha</t>
  </si>
  <si>
    <t>SS</t>
  </si>
  <si>
    <t>MS</t>
  </si>
  <si>
    <t>F</t>
  </si>
  <si>
    <t>Regression</t>
  </si>
  <si>
    <t>Total</t>
  </si>
  <si>
    <t>coeff</t>
  </si>
  <si>
    <t xml:space="preserve">std err</t>
  </si>
  <si>
    <t xml:space="preserve">t stat</t>
  </si>
  <si>
    <t>Profit</t>
  </si>
  <si>
    <t>SBC</t>
  </si>
  <si>
    <t>Intercept</t>
  </si>
  <si>
    <t>vif</t>
  </si>
  <si>
    <t>Time</t>
  </si>
  <si>
    <t xml:space="preserve">Augmented Dickey-Fuller (ADF)</t>
  </si>
  <si>
    <t xml:space="preserve">w/o const or trend</t>
  </si>
  <si>
    <t xml:space="preserve">w/ const, w/o trend</t>
  </si>
  <si>
    <t xml:space="preserve">w/ trend</t>
  </si>
  <si>
    <t xml:space="preserve">max lags</t>
  </si>
  <si>
    <t xml:space="preserve">PP &amp; KPSS Tests</t>
  </si>
  <si>
    <t xml:space="preserve">PP Test</t>
  </si>
  <si>
    <t>(short)</t>
  </si>
  <si>
    <t xml:space="preserve">KPSS Test</t>
  </si>
  <si>
    <t xml:space="preserve">w/o trend</t>
  </si>
  <si>
    <t xml:space="preserve">Time series with missing data</t>
  </si>
  <si>
    <t xml:space="preserve">Spline Interpolation</t>
  </si>
  <si>
    <t xml:space="preserve">Moving Average</t>
  </si>
  <si>
    <t xml:space="preserve">Exponential Moving Average</t>
  </si>
  <si>
    <t>linear</t>
  </si>
  <si>
    <t>spline</t>
  </si>
  <si>
    <t>prior</t>
  </si>
  <si>
    <t>next</t>
  </si>
  <si>
    <t>sma</t>
  </si>
  <si>
    <t>wma</t>
  </si>
  <si>
    <t>ema</t>
  </si>
  <si>
    <t>weight</t>
  </si>
  <si>
    <t>product</t>
  </si>
  <si>
    <t xml:space="preserve">Seasonal time series with missing data</t>
  </si>
  <si>
    <t>Linear</t>
  </si>
  <si>
    <t>WMA</t>
  </si>
  <si>
    <t>seas</t>
  </si>
  <si>
    <t>split</t>
  </si>
  <si>
    <t xml:space="preserve">Split Seasons</t>
  </si>
  <si>
    <t>imputed</t>
  </si>
  <si>
    <t>Deseasonalizing</t>
  </si>
  <si>
    <t>deseas</t>
  </si>
  <si>
    <t xml:space="preserve">Autoregressive Model AR(1)</t>
  </si>
  <si>
    <t xml:space="preserve">ACF (pop)</t>
  </si>
  <si>
    <t>μ</t>
  </si>
  <si>
    <t>ӯ</t>
  </si>
  <si>
    <t xml:space="preserve">pop var</t>
  </si>
  <si>
    <r>
      <t>s</t>
    </r>
    <r>
      <rPr>
        <b val="false"/>
        <i val="false"/>
        <vertAlign val="superscript"/>
        <sz val="11"/>
        <rFont val="Calibri"/>
      </rPr>
      <t>2</t>
    </r>
  </si>
  <si>
    <r>
      <t xml:space="preserve">pop σ</t>
    </r>
    <r>
      <rPr>
        <b val="false"/>
        <i val="false"/>
        <vertAlign val="superscript"/>
        <sz val="11"/>
        <rFont val="Calibri"/>
      </rPr>
      <t>2</t>
    </r>
  </si>
  <si>
    <t xml:space="preserve">PACF (pop)</t>
  </si>
  <si>
    <t xml:space="preserve">Autoregressive Model AR(1) - Least Squares</t>
  </si>
  <si>
    <t>X</t>
  </si>
  <si>
    <t>φ</t>
  </si>
  <si>
    <t xml:space="preserve">Act Y</t>
  </si>
  <si>
    <t xml:space="preserve">Pred Y</t>
  </si>
  <si>
    <t xml:space="preserve">Res Mean</t>
  </si>
  <si>
    <t xml:space="preserve">Res Var</t>
  </si>
  <si>
    <t>PACF(1)</t>
  </si>
  <si>
    <t>PACF(2)</t>
  </si>
  <si>
    <t>φ0</t>
  </si>
  <si>
    <t>φ1</t>
  </si>
  <si>
    <t xml:space="preserve">Autoregressive Model AR(1) - Solver</t>
  </si>
  <si>
    <t>Pred</t>
  </si>
  <si>
    <r>
      <t>|φ</t>
    </r>
    <r>
      <rPr>
        <b val="false"/>
        <i val="false"/>
        <vertAlign val="subscript"/>
        <sz val="11"/>
        <rFont val="Calibri"/>
      </rPr>
      <t>1</t>
    </r>
    <r>
      <rPr>
        <b val="false"/>
        <i val="false"/>
        <sz val="11"/>
        <rFont val="Calibri"/>
      </rPr>
      <t>|</t>
    </r>
  </si>
  <si>
    <t xml:space="preserve">&lt; 1</t>
  </si>
  <si>
    <t>Data</t>
  </si>
  <si>
    <t>varp</t>
  </si>
  <si>
    <t>ACF(1)</t>
  </si>
  <si>
    <r>
      <t>σ</t>
    </r>
    <r>
      <rPr>
        <b val="false"/>
        <i val="false"/>
        <vertAlign val="superscript"/>
        <sz val="11"/>
        <rFont val="Calibri"/>
      </rPr>
      <t>2</t>
    </r>
  </si>
  <si>
    <t xml:space="preserve">Autoregressive Model AR(2)</t>
  </si>
  <si>
    <t>φ2</t>
  </si>
  <si>
    <t>ARMap</t>
  </si>
  <si>
    <t>X1</t>
  </si>
  <si>
    <t>X2</t>
  </si>
  <si>
    <t xml:space="preserve">Autoregressive Model AR(2) - Solver</t>
  </si>
  <si>
    <t>SSE</t>
  </si>
  <si>
    <t>|φ2|</t>
  </si>
  <si>
    <t>|φ1|+φ2</t>
  </si>
  <si>
    <t>ACF(2)</t>
  </si>
  <si>
    <t xml:space="preserve">AR(3) roots</t>
  </si>
  <si>
    <t>real</t>
  </si>
  <si>
    <t>imag</t>
  </si>
  <si>
    <t>abs</t>
  </si>
  <si>
    <t>φ3</t>
  </si>
  <si>
    <t xml:space="preserve">AR(3) Model</t>
  </si>
  <si>
    <t xml:space="preserve">ARIMA Model (AR-oriented)</t>
  </si>
  <si>
    <t xml:space="preserve">Model statistics</t>
  </si>
  <si>
    <t xml:space="preserve">Phi roots</t>
  </si>
  <si>
    <t xml:space="preserve">Model parameters</t>
  </si>
  <si>
    <t xml:space="preserve">Forecast (reduced)</t>
  </si>
  <si>
    <t>Forecast</t>
  </si>
  <si>
    <t>residual</t>
  </si>
  <si>
    <t>index</t>
  </si>
  <si>
    <t>phi</t>
  </si>
  <si>
    <t>theta</t>
  </si>
  <si>
    <t xml:space="preserve">abs val</t>
  </si>
  <si>
    <t>param</t>
  </si>
  <si>
    <t>value</t>
  </si>
  <si>
    <t>Reformat</t>
  </si>
  <si>
    <t xml:space="preserve">phi 1</t>
  </si>
  <si>
    <t xml:space="preserve">phi 2</t>
  </si>
  <si>
    <t>x1</t>
  </si>
  <si>
    <t>x2</t>
  </si>
  <si>
    <t>x3</t>
  </si>
  <si>
    <t xml:space="preserve">phi 3</t>
  </si>
  <si>
    <t>const</t>
  </si>
  <si>
    <t xml:space="preserve">Theta roots</t>
  </si>
  <si>
    <t>converge</t>
  </si>
  <si>
    <t>p</t>
  </si>
  <si>
    <t>q</t>
  </si>
  <si>
    <t xml:space="preserve">Psi coefficients</t>
  </si>
  <si>
    <t xml:space="preserve">res mean</t>
  </si>
  <si>
    <t>psi</t>
  </si>
  <si>
    <t xml:space="preserve">res s.d.</t>
  </si>
  <si>
    <t xml:space="preserve">sqrt mse</t>
  </si>
  <si>
    <t xml:space="preserve">data mean</t>
  </si>
  <si>
    <t xml:space="preserve">data s.d.</t>
  </si>
  <si>
    <t>size</t>
  </si>
  <si>
    <t>LL</t>
  </si>
  <si>
    <t>BIC</t>
  </si>
  <si>
    <t xml:space="preserve">AIC aug</t>
  </si>
  <si>
    <t xml:space="preserve">BIC aug</t>
  </si>
  <si>
    <t xml:space="preserve">ARIMA Model (non-AR oriented)</t>
  </si>
  <si>
    <t xml:space="preserve">ARIMA Model (AR oriented)</t>
  </si>
  <si>
    <t xml:space="preserve">Moving Average MA(1)</t>
  </si>
  <si>
    <t>'=NORMINV(RAND(),0,2)</t>
  </si>
  <si>
    <r>
      <t xml:space="preserve">Convert AR(1) to MA(</t>
    </r>
    <r>
      <rPr>
        <b/>
        <i val="false"/>
        <sz val="11"/>
        <rFont val="Arial"/>
      </rPr>
      <t>∞</t>
    </r>
    <r>
      <rPr>
        <b/>
        <i val="false"/>
        <sz val="11"/>
        <rFont val="Calibri"/>
      </rPr>
      <t>)</t>
    </r>
  </si>
  <si>
    <r>
      <t xml:space="preserve">Convert AR(2) to MA(</t>
    </r>
    <r>
      <rPr>
        <b/>
        <i val="false"/>
        <sz val="11"/>
        <rFont val="Arial"/>
      </rPr>
      <t>∞</t>
    </r>
    <r>
      <rPr>
        <b/>
        <i val="false"/>
        <sz val="11"/>
        <rFont val="Calibri"/>
      </rPr>
      <t>)</t>
    </r>
  </si>
  <si>
    <t xml:space="preserve">AR(2) Model</t>
  </si>
  <si>
    <r>
      <t>MA(</t>
    </r>
    <r>
      <rPr>
        <b val="false"/>
        <i val="false"/>
        <sz val="11"/>
        <rFont val="Arial"/>
      </rPr>
      <t>∞</t>
    </r>
    <r>
      <rPr>
        <b val="false"/>
        <i val="false"/>
        <sz val="11"/>
        <rFont val="Calibri"/>
      </rPr>
      <t xml:space="preserve">) Model</t>
    </r>
  </si>
  <si>
    <t>µ</t>
  </si>
  <si>
    <t>ψ0</t>
  </si>
  <si>
    <t>ψ1</t>
  </si>
  <si>
    <t>ψ2</t>
  </si>
  <si>
    <t>ψ3</t>
  </si>
  <si>
    <t>ψ4</t>
  </si>
  <si>
    <t xml:space="preserve">Using Real Statistics function PSICoeff</t>
  </si>
  <si>
    <t xml:space="preserve">Fitting an MA(1) process using the ACF</t>
  </si>
  <si>
    <t>sample</t>
  </si>
  <si>
    <t>pop</t>
  </si>
  <si>
    <t xml:space="preserve">sample formulas</t>
  </si>
  <si>
    <t>concept</t>
  </si>
  <si>
    <t>formula</t>
  </si>
  <si>
    <r>
      <rPr>
        <b val="false"/>
        <i val="false"/>
        <sz val="11"/>
        <rFont val="Calibri"/>
      </rPr>
      <t>θ</t>
    </r>
    <r>
      <rPr>
        <b val="false"/>
        <i val="false"/>
        <vertAlign val="subscript"/>
        <sz val="11"/>
        <rFont val="Calibri"/>
      </rPr>
      <t>n1</t>
    </r>
  </si>
  <si>
    <r>
      <t>v</t>
    </r>
    <r>
      <rPr>
        <b val="false"/>
        <i val="false"/>
        <vertAlign val="subscript"/>
        <sz val="11"/>
        <rFont val="Calibri"/>
      </rPr>
      <t>n</t>
    </r>
  </si>
  <si>
    <t>cell</t>
  </si>
  <si>
    <t xml:space="preserve">T Test: One Sample</t>
  </si>
  <si>
    <t>v0</t>
  </si>
  <si>
    <t>G4</t>
  </si>
  <si>
    <t>θ</t>
  </si>
  <si>
    <r>
      <t>γ</t>
    </r>
    <r>
      <rPr>
        <b val="false"/>
        <i val="false"/>
        <vertAlign val="subscript"/>
        <sz val="11"/>
        <rFont val="Calibri"/>
      </rPr>
      <t>0</t>
    </r>
  </si>
  <si>
    <t>θ11</t>
  </si>
  <si>
    <t>F5</t>
  </si>
  <si>
    <t>SUMMARY</t>
  </si>
  <si>
    <r>
      <t>ρ</t>
    </r>
    <r>
      <rPr>
        <b val="false"/>
        <i val="false"/>
        <vertAlign val="subscript"/>
        <sz val="11"/>
        <rFont val="Calibri"/>
      </rPr>
      <t>1</t>
    </r>
  </si>
  <si>
    <t>v1</t>
  </si>
  <si>
    <t>G5</t>
  </si>
  <si>
    <t>Count</t>
  </si>
  <si>
    <t>Mean</t>
  </si>
  <si>
    <t xml:space="preserve">Std Dev</t>
  </si>
  <si>
    <t xml:space="preserve">Std Err</t>
  </si>
  <si>
    <t xml:space="preserve">Cohen d</t>
  </si>
  <si>
    <t xml:space="preserve">Effect r</t>
  </si>
  <si>
    <t>γ0</t>
  </si>
  <si>
    <t xml:space="preserve">T TEST</t>
  </si>
  <si>
    <t xml:space="preserve">Hyp Mean</t>
  </si>
  <si>
    <r>
      <t>θ</t>
    </r>
    <r>
      <rPr>
        <b val="false"/>
        <i val="false"/>
        <vertAlign val="subscript"/>
        <sz val="11"/>
        <rFont val="Calibri"/>
      </rPr>
      <t>1</t>
    </r>
  </si>
  <si>
    <t>γ1</t>
  </si>
  <si>
    <t xml:space="preserve"> </t>
  </si>
  <si>
    <t>t-crit</t>
  </si>
  <si>
    <t xml:space="preserve">One Tail</t>
  </si>
  <si>
    <t xml:space="preserve">Two Tail</t>
  </si>
  <si>
    <t>=NORMINV(RAND(),0,.5)</t>
  </si>
  <si>
    <t xml:space="preserve">Fitting an MA(1) process using Solver</t>
  </si>
  <si>
    <t xml:space="preserve">Fitting an MA(2) process using Solver</t>
  </si>
  <si>
    <r>
      <t>θ</t>
    </r>
    <r>
      <rPr>
        <b val="false"/>
        <i val="false"/>
        <vertAlign val="subscript"/>
        <sz val="11"/>
        <rFont val="Calibri"/>
      </rPr>
      <t>2</t>
    </r>
  </si>
  <si>
    <t xml:space="preserve">Fitting an MA(3) process using Solver</t>
  </si>
  <si>
    <r>
      <t>θ</t>
    </r>
    <r>
      <rPr>
        <b val="false"/>
        <i val="false"/>
        <vertAlign val="subscript"/>
        <sz val="11"/>
        <rFont val="Calibri"/>
      </rPr>
      <t>3</t>
    </r>
  </si>
  <si>
    <r>
      <t>|θ</t>
    </r>
    <r>
      <rPr>
        <b val="false"/>
        <i val="false"/>
        <vertAlign val="subscript"/>
        <sz val="11"/>
        <rFont val="Calibri"/>
      </rPr>
      <t>1</t>
    </r>
    <r>
      <rPr>
        <b val="false"/>
        <i val="false"/>
        <sz val="11"/>
        <rFont val="Calibri"/>
      </rPr>
      <t>|</t>
    </r>
  </si>
  <si>
    <r>
      <t>|θ</t>
    </r>
    <r>
      <rPr>
        <b val="false"/>
        <i val="false"/>
        <vertAlign val="subscript"/>
        <sz val="11"/>
        <rFont val="Calibri"/>
      </rPr>
      <t>2</t>
    </r>
    <r>
      <rPr>
        <b val="false"/>
        <i val="false"/>
        <sz val="11"/>
        <rFont val="Calibri"/>
      </rPr>
      <t>|</t>
    </r>
  </si>
  <si>
    <r>
      <t>|θ</t>
    </r>
    <r>
      <rPr>
        <b val="false"/>
        <i val="false"/>
        <vertAlign val="subscript"/>
        <sz val="11"/>
        <rFont val="Calibri"/>
      </rPr>
      <t>3</t>
    </r>
    <r>
      <rPr>
        <b val="false"/>
        <i val="false"/>
        <sz val="11"/>
        <rFont val="Calibri"/>
      </rPr>
      <t>|</t>
    </r>
  </si>
  <si>
    <t xml:space="preserve">MA(3) roots</t>
  </si>
  <si>
    <t>θ3</t>
  </si>
  <si>
    <t>θ2</t>
  </si>
  <si>
    <t>θ1</t>
  </si>
  <si>
    <t xml:space="preserve">ARMA(1,1) Process</t>
  </si>
  <si>
    <r>
      <t>y</t>
    </r>
    <r>
      <rPr>
        <b val="false"/>
        <i val="false"/>
        <vertAlign val="subscript"/>
        <sz val="11"/>
        <rFont val="Calibri"/>
      </rPr>
      <t>i</t>
    </r>
    <r>
      <rPr>
        <b val="false"/>
        <i val="false"/>
        <sz val="11"/>
        <rFont val="Calibri"/>
      </rPr>
      <t xml:space="preserve"> = .7y</t>
    </r>
    <r>
      <rPr>
        <b val="false"/>
        <i val="false"/>
        <vertAlign val="subscript"/>
        <sz val="11"/>
        <rFont val="Calibri"/>
      </rPr>
      <t>i-1</t>
    </r>
    <r>
      <rPr>
        <b val="false"/>
        <i val="false"/>
        <sz val="11"/>
        <rFont val="Calibri"/>
      </rPr>
      <t xml:space="preserve"> + </t>
    </r>
    <r>
      <t>ε</t>
    </r>
    <r>
      <rPr>
        <b val="false"/>
        <i val="false"/>
        <vertAlign val="subscript"/>
        <sz val="11"/>
        <rFont val="Calibri"/>
      </rPr>
      <t>i</t>
    </r>
    <r>
      <rPr>
        <b val="false"/>
        <i val="false"/>
        <sz val="11"/>
        <rFont val="Calibri"/>
      </rPr>
      <t xml:space="preserve"> - .2</t>
    </r>
    <r>
      <t>ε</t>
    </r>
    <r>
      <rPr>
        <b val="false"/>
        <i val="false"/>
        <vertAlign val="subscript"/>
        <sz val="11"/>
        <rFont val="Calibri"/>
      </rPr>
      <t>i-1</t>
    </r>
  </si>
  <si>
    <t>=NORMSINV(RAND())</t>
  </si>
  <si>
    <r>
      <t>y</t>
    </r>
    <r>
      <rPr>
        <b val="false"/>
        <i val="false"/>
        <vertAlign val="subscript"/>
        <sz val="11"/>
        <rFont val="Calibri"/>
      </rPr>
      <t>i</t>
    </r>
    <r>
      <rPr>
        <b val="false"/>
        <i val="false"/>
        <sz val="11"/>
        <rFont val="Calibri"/>
      </rPr>
      <t xml:space="preserve"> = 3 + .7y</t>
    </r>
    <r>
      <rPr>
        <b val="false"/>
        <i val="false"/>
        <vertAlign val="subscript"/>
        <sz val="11"/>
        <rFont val="Calibri"/>
      </rPr>
      <t>i-1</t>
    </r>
    <r>
      <rPr>
        <b val="false"/>
        <i val="false"/>
        <sz val="11"/>
        <rFont val="Calibri"/>
      </rPr>
      <t xml:space="preserve"> + </t>
    </r>
    <r>
      <t>ε</t>
    </r>
    <r>
      <rPr>
        <b val="false"/>
        <i val="false"/>
        <vertAlign val="subscript"/>
        <sz val="11"/>
        <rFont val="Calibri"/>
      </rPr>
      <t>i</t>
    </r>
    <r>
      <rPr>
        <b val="false"/>
        <i val="false"/>
        <sz val="11"/>
        <rFont val="Calibri"/>
      </rPr>
      <t xml:space="preserve"> - .2</t>
    </r>
    <r>
      <t>ε</t>
    </r>
    <r>
      <rPr>
        <b val="false"/>
        <i val="false"/>
        <vertAlign val="subscript"/>
        <sz val="11"/>
        <rFont val="Calibri"/>
      </rPr>
      <t>i-1</t>
    </r>
  </si>
  <si>
    <t xml:space="preserve">ARIMA Model</t>
  </si>
  <si>
    <t>sse</t>
  </si>
  <si>
    <t>chi-sq</t>
  </si>
  <si>
    <t xml:space="preserve">theta 1</t>
  </si>
  <si>
    <t>t-stat</t>
  </si>
  <si>
    <t xml:space="preserve">y mean</t>
  </si>
  <si>
    <t xml:space="preserve">z mean</t>
  </si>
  <si>
    <r>
      <t xml:space="preserve">Converting ARMA(1,1) process to MA(</t>
    </r>
    <r>
      <rPr>
        <b/>
        <i val="false"/>
        <sz val="11"/>
        <rFont val="Times New Roman"/>
      </rPr>
      <t>∞</t>
    </r>
    <r>
      <rPr>
        <b/>
        <i val="false"/>
        <sz val="11"/>
        <rFont val="Calibri"/>
      </rPr>
      <t>)</t>
    </r>
  </si>
  <si>
    <t xml:space="preserve">ARMA(2,1) Process</t>
  </si>
  <si>
    <t xml:space="preserve">ARMA(2,2) Process</t>
  </si>
  <si>
    <t xml:space="preserve">theta 2</t>
  </si>
  <si>
    <t xml:space="preserve">ARMA(2,1,1) Process</t>
  </si>
  <si>
    <t xml:space="preserve">Model statistics (Solver)</t>
  </si>
  <si>
    <t xml:space="preserve">T test for the mean</t>
  </si>
  <si>
    <t xml:space="preserve">ARMA(2,1,2) Process</t>
  </si>
  <si>
    <t xml:space="preserve">SARIMA Model</t>
  </si>
  <si>
    <t xml:space="preserve">Model coefficients</t>
  </si>
  <si>
    <t xml:space="preserve">phi roots</t>
  </si>
  <si>
    <t>arima</t>
  </si>
  <si>
    <t>season</t>
  </si>
  <si>
    <t xml:space="preserve">Phi 1</t>
  </si>
  <si>
    <t xml:space="preserve">theta roots</t>
  </si>
  <si>
    <t>period</t>
  </si>
  <si>
    <t xml:space="preserve">Theta 1</t>
  </si>
  <si>
    <t xml:space="preserve">Phi (seasonal) roots</t>
  </si>
  <si>
    <t xml:space="preserve">Theta (seasonal) roots</t>
  </si>
  <si>
    <t>?</t>
  </si>
  <si>
    <t>MK-stat</t>
  </si>
  <si>
    <t>z-stat</t>
  </si>
  <si>
    <t>=2*NORM.S.DIST(-ABS(R9),TRUE)</t>
  </si>
  <si>
    <t>prel</t>
  </si>
  <si>
    <t>ties</t>
  </si>
  <si>
    <t>freq</t>
  </si>
  <si>
    <t xml:space="preserve"># of pairs</t>
  </si>
  <si>
    <t>=NORM.S.INV(1-R4/2)*R6</t>
  </si>
  <si>
    <t>slope</t>
  </si>
  <si>
    <t xml:space="preserve">MK Real Statistics Tool</t>
  </si>
  <si>
    <t xml:space="preserve">Mann-Kendall and Sen's Slope</t>
  </si>
  <si>
    <t>year</t>
  </si>
  <si>
    <t>chicken</t>
  </si>
  <si>
    <t>egg</t>
  </si>
  <si>
    <t>ce</t>
  </si>
  <si>
    <t>ec</t>
  </si>
  <si>
    <t>chick-1</t>
  </si>
  <si>
    <t>chick-2</t>
  </si>
  <si>
    <t>chick-3</t>
  </si>
  <si>
    <t>chick-4</t>
  </si>
  <si>
    <t>egg-1</t>
  </si>
  <si>
    <t>egg-2</t>
  </si>
  <si>
    <t>egg-3</t>
  </si>
  <si>
    <t>egg-4</t>
  </si>
  <si>
    <t>chick</t>
  </si>
  <si>
    <t>Full</t>
  </si>
  <si>
    <t>Reduced</t>
  </si>
  <si>
    <t>R-Square</t>
  </si>
  <si>
    <t xml:space="preserve">R-sq full</t>
  </si>
  <si>
    <t>chick→egg</t>
  </si>
  <si>
    <t>egg→chick</t>
  </si>
  <si>
    <t>dfRes</t>
  </si>
  <si>
    <t xml:space="preserve">R-sq red</t>
  </si>
  <si>
    <t>dfReg</t>
  </si>
  <si>
    <t>WTI</t>
  </si>
  <si>
    <t>Brent</t>
  </si>
  <si>
    <t xml:space="preserve">ADF Tests</t>
  </si>
  <si>
    <t>residuals</t>
  </si>
  <si>
    <t>ADF</t>
  </si>
  <si>
    <t>EG</t>
  </si>
  <si>
    <t xml:space="preserve">X var</t>
  </si>
  <si>
    <t xml:space="preserve">Y var</t>
  </si>
  <si>
    <t xml:space="preserve">X diff</t>
  </si>
  <si>
    <t xml:space="preserve">Y diff</t>
  </si>
  <si>
    <t>type</t>
  </si>
  <si>
    <t>Cross-Correlations</t>
  </si>
  <si>
    <t>Month</t>
  </si>
  <si>
    <t>Inventory</t>
  </si>
  <si>
    <t>Revenue</t>
  </si>
  <si>
    <t xml:space="preserve">Cross correlations</t>
  </si>
  <si>
    <t xml:space="preserve">Using Offset</t>
  </si>
  <si>
    <t xml:space="preserve">Max # of lags</t>
  </si>
  <si>
    <t>Correl</t>
  </si>
  <si>
    <t xml:space="preserve">Optimum # of lags</t>
  </si>
  <si>
    <t xml:space="preserve">Optimum correlation</t>
  </si>
  <si>
    <t xml:space="preserve">Chart # of lags</t>
  </si>
  <si>
    <t xml:space="preserve">Chart correlation</t>
  </si>
  <si>
    <t xml:space="preserve">ARIMAX Model</t>
  </si>
  <si>
    <t xml:space="preserve">Y Forecast</t>
  </si>
  <si>
    <t>city</t>
  </si>
  <si>
    <t>unem</t>
  </si>
  <si>
    <t>crime</t>
  </si>
  <si>
    <t>firm</t>
  </si>
  <si>
    <t>lcapital</t>
  </si>
  <si>
    <t>llabor</t>
  </si>
  <si>
    <t>lsales</t>
  </si>
  <si>
    <t xml:space="preserve">Regression (FEM: differenced data)</t>
  </si>
  <si>
    <t xml:space="preserve">Regression (FEM: demeaned data)</t>
  </si>
  <si>
    <t>Units</t>
  </si>
  <si>
    <t>correction</t>
  </si>
  <si>
    <t>intercept</t>
  </si>
  <si>
    <t xml:space="preserve">Regression Analysis (Random Effects Model)</t>
  </si>
  <si>
    <t xml:space="preserve">Regression (Random Effects Model)</t>
  </si>
  <si>
    <t>Param</t>
  </si>
  <si>
    <t>var-e</t>
  </si>
  <si>
    <t>var-u</t>
  </si>
  <si>
    <t xml:space="preserve">Absorbing Markov Chain</t>
  </si>
  <si>
    <r>
      <t>P</t>
    </r>
    <r>
      <rPr>
        <b val="false"/>
        <i val="false"/>
        <vertAlign val="superscript"/>
        <sz val="11"/>
        <rFont val="Calibri"/>
      </rPr>
      <t>2</t>
    </r>
  </si>
  <si>
    <r>
      <t>P</t>
    </r>
    <r>
      <rPr>
        <b val="false"/>
        <i val="false"/>
        <vertAlign val="superscript"/>
        <sz val="11"/>
        <rFont val="Calibri"/>
      </rPr>
      <t>8</t>
    </r>
  </si>
  <si>
    <r>
      <t>P</t>
    </r>
    <r>
      <rPr>
        <b val="false"/>
        <i val="false"/>
        <vertAlign val="superscript"/>
        <sz val="11"/>
        <rFont val="Calibri"/>
      </rPr>
      <t>4</t>
    </r>
  </si>
  <si>
    <r>
      <t>P</t>
    </r>
    <r>
      <rPr>
        <b val="false"/>
        <i val="false"/>
        <vertAlign val="superscript"/>
        <sz val="11"/>
        <rFont val="Calibri"/>
      </rPr>
      <t>10</t>
    </r>
  </si>
  <si>
    <r>
      <t>P</t>
    </r>
    <r>
      <rPr>
        <b val="false"/>
        <i val="false"/>
        <vertAlign val="superscript"/>
        <sz val="11"/>
        <rFont val="Calibri"/>
      </rPr>
      <t>9</t>
    </r>
  </si>
  <si>
    <t>a</t>
  </si>
  <si>
    <t>b</t>
  </si>
  <si>
    <r>
      <t>P</t>
    </r>
    <r>
      <rPr>
        <b val="false"/>
        <i val="false"/>
        <vertAlign val="superscript"/>
        <sz val="11"/>
        <rFont val="Calibri"/>
      </rPr>
      <t>30</t>
    </r>
  </si>
  <si>
    <r>
      <t>P</t>
    </r>
    <r>
      <rPr>
        <b val="false"/>
        <i val="false"/>
        <vertAlign val="superscript"/>
        <sz val="11"/>
        <rFont val="Calibri"/>
      </rPr>
      <t>20</t>
    </r>
  </si>
  <si>
    <r>
      <t>P</t>
    </r>
    <r>
      <rPr>
        <b val="false"/>
        <i val="false"/>
        <vertAlign val="superscript"/>
        <sz val="11"/>
        <rFont val="Calibri"/>
      </rPr>
      <t>40</t>
    </r>
  </si>
  <si>
    <t xml:space="preserve">Augemented Dickey-Fuller Table of Critical Values</t>
  </si>
  <si>
    <t xml:space="preserve">Model 0 - no constant, no trend</t>
  </si>
  <si>
    <t xml:space="preserve">Model 1 - constant, no trend</t>
  </si>
  <si>
    <t xml:space="preserve">Model 2 - constant, trend</t>
  </si>
  <si>
    <t>N</t>
  </si>
  <si>
    <t>&gt;500</t>
  </si>
  <si>
    <r>
      <t xml:space="preserve">Based on an estimate of t + u/N + v/N</t>
    </r>
    <r>
      <rPr>
        <b val="false"/>
        <i val="false"/>
        <vertAlign val="superscript"/>
        <sz val="11"/>
        <rFont val="Calibri"/>
      </rPr>
      <t>2</t>
    </r>
    <r>
      <rPr>
        <b val="false"/>
        <i val="false"/>
        <sz val="11"/>
        <rFont val="Calibri"/>
      </rPr>
      <t xml:space="preserve"> + w/N</t>
    </r>
    <r>
      <rPr>
        <b val="false"/>
        <i val="false"/>
        <vertAlign val="superscript"/>
        <sz val="11"/>
        <rFont val="Calibri"/>
      </rPr>
      <t>3</t>
    </r>
    <r>
      <rPr>
        <b val="false"/>
        <i val="false"/>
        <sz val="11"/>
        <rFont val="Calibri"/>
      </rPr>
      <t xml:space="preserve"> where t, u, v, w are defined as follows:</t>
    </r>
  </si>
  <si>
    <t xml:space="preserve">The values for alpha = .025 is calculated as an interpolation between alpha = .01 and .05</t>
  </si>
  <si>
    <t xml:space="preserve">Engle-Granger Table of Critical Values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</si>
</sst>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7">
    <numFmt numFmtId="160" formatCode="_-* #,##0.00_-;\-* #,##0.00_-;_-* &quot;-&quot;??_-;_-@_-"/>
    <numFmt numFmtId="161" formatCode="0.0000"/>
    <numFmt numFmtId="162" formatCode="0.0"/>
    <numFmt numFmtId="163" formatCode="MMM-YY"/>
    <numFmt numFmtId="164" formatCode="M/D/YYYY"/>
    <numFmt numFmtId="165" formatCode="0.000"/>
    <numFmt numFmtId="166" formatCode="0.00000"/>
  </numFmts>
  <fonts count="9">
    <font>
      <sz val="11.000000"/>
      <color indexed="64"/>
      <name val="Calibri"/>
    </font>
    <font>
      <u/>
      <sz val="11.000000"/>
      <color rgb="FF0563C1"/>
      <name val="Calibri"/>
    </font>
    <font>
      <b/>
      <sz val="11.000000"/>
      <color indexed="64"/>
      <name val="Calibri"/>
    </font>
    <font>
      <b/>
      <u/>
      <sz val="11.000000"/>
      <color rgb="FF0563C1"/>
      <name val="Calibri"/>
    </font>
    <font>
      <i/>
      <sz val="11.000000"/>
      <color indexed="64"/>
      <name val="Calibri"/>
    </font>
    <font>
      <sz val="12.000000"/>
      <color indexed="63"/>
      <name val="Georgia"/>
    </font>
    <font>
      <vertAlign val="subscript"/>
      <sz val="11.000000"/>
      <color indexed="64"/>
      <name val="Calibri"/>
    </font>
    <font>
      <sz val="11.000000"/>
      <color indexed="2"/>
      <name val="Calibri"/>
    </font>
    <font>
      <sz val="10.000000"/>
      <color indexed="64"/>
      <name val="Calibri"/>
    </font>
  </fonts>
  <fills count="6">
    <fill>
      <patternFill patternType="none"/>
    </fill>
    <fill>
      <patternFill patternType="gray125"/>
    </fill>
    <fill>
      <patternFill patternType="solid">
        <fgColor indexed="7"/>
        <bgColor indexed="65"/>
      </patternFill>
    </fill>
    <fill>
      <patternFill patternType="solid">
        <fgColor rgb="FF92D050"/>
        <bgColor indexed="65"/>
      </patternFill>
    </fill>
    <fill>
      <patternFill patternType="solid">
        <fgColor rgb="FFFFC000"/>
        <bgColor indexed="65"/>
      </patternFill>
    </fill>
    <fill>
      <patternFill patternType="solid">
        <fgColor indexed="5"/>
        <bgColor indexed="65"/>
      </patternFill>
    </fill>
  </fills>
  <borders count="19">
    <border>
      <left style="none"/>
      <right style="none"/>
      <top style="none"/>
      <bottom style="none"/>
      <diagonal style="none"/>
    </border>
    <border>
      <left style="none"/>
      <right style="none"/>
      <top style="thin">
        <color indexed="64"/>
      </top>
      <bottom style="thin">
        <color indexed="64"/>
      </bottom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thin">
        <color indexed="64"/>
      </right>
      <top style="thin">
        <color indexed="64"/>
      </top>
      <bottom style="none"/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none"/>
      <diagonal style="none"/>
    </border>
    <border>
      <left style="thin">
        <color indexed="64"/>
      </left>
      <right style="none"/>
      <top style="none"/>
      <bottom style="none"/>
      <diagonal style="none"/>
    </border>
    <border>
      <left style="none"/>
      <right style="thin">
        <color indexed="64"/>
      </right>
      <top style="none"/>
      <bottom style="none"/>
      <diagonal style="none"/>
    </border>
    <border>
      <left style="thin">
        <color indexed="64"/>
      </left>
      <right style="thin">
        <color indexed="64"/>
      </right>
      <top style="none"/>
      <bottom style="none"/>
      <diagonal style="none"/>
    </border>
    <border>
      <left style="thin">
        <color indexed="64"/>
      </left>
      <right style="none"/>
      <top style="none"/>
      <bottom style="thin">
        <color indexed="64"/>
      </bottom>
      <diagonal style="none"/>
    </border>
    <border>
      <left style="none"/>
      <right style="thin">
        <color indexed="64"/>
      </right>
      <top style="none"/>
      <bottom style="thin">
        <color indexed="64"/>
      </bottom>
      <diagonal style="none"/>
    </border>
    <border>
      <left style="thin">
        <color indexed="64"/>
      </left>
      <right style="thin">
        <color indexed="64"/>
      </right>
      <top style="none"/>
      <bottom style="thin">
        <color indexed="64"/>
      </bottom>
      <diagonal style="none"/>
    </border>
    <border>
      <left style="none"/>
      <right style="none"/>
      <top style="none"/>
      <bottom style="thin">
        <color indexed="64"/>
      </bottom>
      <diagonal style="none"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indexed="64"/>
      </left>
      <right style="none"/>
      <top style="thin">
        <color indexed="64"/>
      </top>
      <bottom style="thin">
        <color indexed="64"/>
      </bottom>
      <diagonal style="none"/>
    </border>
    <border>
      <left style="none"/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none"/>
      <right style="none"/>
      <top style="double">
        <color indexed="64"/>
      </top>
      <bottom style="thin">
        <color indexed="64"/>
      </bottom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none"/>
      <right style="none"/>
      <top style="none"/>
      <bottom style="double">
        <color indexed="64"/>
      </bottom>
      <diagonal style="none"/>
    </border>
    <border>
      <left style="none"/>
      <right style="none"/>
      <top style="none"/>
      <bottom style="none"/>
      <diagonal style="none"/>
    </border>
  </borders>
  <cellStyleXfs count="3">
    <xf fontId="0" fillId="0" borderId="0" numFmtId="0" applyNumberFormat="1" applyFont="1" applyFill="1" applyBorder="1" applyProtection="1"/>
    <xf fontId="0" fillId="0" borderId="0" numFmtId="160" applyNumberFormat="1" applyFont="0" applyFill="0" applyBorder="0" applyProtection="0"/>
    <xf fontId="1" fillId="0" borderId="0" numFmtId="0" applyNumberFormat="0" applyFont="1" applyFill="0" applyBorder="0" applyProtection="0">
      <alignment vertical="top"/>
      <protection hidden="0" locked="0"/>
    </xf>
  </cellStyleXfs>
  <cellXfs count="120">
    <xf fontId="0" fillId="0" borderId="0" numFmtId="0" xfId="0"/>
    <xf fontId="2" fillId="0" borderId="0" numFmtId="0" xfId="0" applyFont="1"/>
    <xf fontId="1" fillId="0" borderId="0" numFmtId="0" xfId="2" applyFont="1" applyProtection="1">
      <protection hidden="0" locked="1"/>
    </xf>
    <xf fontId="3" fillId="0" borderId="0" numFmtId="0" xfId="2" applyFont="1" applyProtection="1">
      <protection hidden="0" locked="1"/>
    </xf>
    <xf fontId="0" fillId="0" borderId="1" numFmtId="0" xfId="0" applyBorder="1" applyAlignment="1">
      <alignment horizontal="center"/>
    </xf>
    <xf fontId="0" fillId="0" borderId="2" numFmtId="0" xfId="0" applyBorder="1"/>
    <xf fontId="0" fillId="0" borderId="3" numFmtId="0" xfId="0" applyBorder="1"/>
    <xf fontId="0" fillId="0" borderId="4" numFmtId="0" xfId="0" applyBorder="1"/>
    <xf fontId="0" fillId="0" borderId="5" numFmtId="0" xfId="0" applyBorder="1"/>
    <xf fontId="0" fillId="0" borderId="6" numFmtId="0" xfId="0" applyBorder="1"/>
    <xf fontId="0" fillId="0" borderId="7" numFmtId="0" xfId="0" applyBorder="1"/>
    <xf fontId="0" fillId="0" borderId="8" numFmtId="0" xfId="0" applyBorder="1"/>
    <xf fontId="0" fillId="0" borderId="9" numFmtId="0" xfId="0" applyBorder="1"/>
    <xf fontId="0" fillId="0" borderId="10" numFmtId="0" xfId="0" applyBorder="1"/>
    <xf fontId="0" fillId="0" borderId="11" numFmtId="0" xfId="0" applyBorder="1"/>
    <xf fontId="0" fillId="0" borderId="0" numFmtId="0" xfId="0" applyAlignment="1">
      <alignment horizontal="center"/>
    </xf>
    <xf fontId="0" fillId="0" borderId="12" numFmtId="0" xfId="0" applyBorder="1" applyAlignment="1">
      <alignment horizontal="center"/>
    </xf>
    <xf fontId="0" fillId="0" borderId="11" numFmtId="0" xfId="0" applyBorder="1" applyAlignment="1">
      <alignment horizontal="center"/>
    </xf>
    <xf fontId="0" fillId="0" borderId="12" numFmtId="0" xfId="0" applyBorder="1"/>
    <xf fontId="0" fillId="0" borderId="0" numFmtId="161" xfId="0" applyNumberFormat="1"/>
    <xf fontId="0" fillId="0" borderId="0" numFmtId="0" xfId="0" quotePrefix="1"/>
    <xf fontId="0" fillId="0" borderId="10" numFmtId="0" xfId="0" applyBorder="1" applyAlignment="1">
      <alignment horizontal="right"/>
    </xf>
    <xf fontId="0" fillId="0" borderId="13" numFmtId="0" xfId="0" applyBorder="1"/>
    <xf fontId="0" fillId="0" borderId="14" numFmtId="0" xfId="0" applyBorder="1"/>
    <xf fontId="4" fillId="0" borderId="15" numFmtId="0" xfId="0" applyFont="1" applyBorder="1" applyAlignment="1">
      <alignment horizontal="center"/>
    </xf>
    <xf fontId="4" fillId="0" borderId="0" numFmtId="0" xfId="0" applyFont="1" applyAlignment="1">
      <alignment horizontal="center"/>
    </xf>
    <xf fontId="0" fillId="0" borderId="1" numFmtId="0" xfId="0" applyBorder="1"/>
    <xf fontId="0" fillId="0" borderId="0" numFmtId="162" xfId="0" applyNumberFormat="1" applyAlignment="1">
      <alignment horizontal="center"/>
    </xf>
    <xf fontId="4" fillId="0" borderId="0" numFmtId="0" xfId="0" applyFont="1"/>
    <xf fontId="0" fillId="0" borderId="1" numFmtId="0" xfId="0" applyBorder="1" applyAlignment="1">
      <alignment horizontal="right"/>
    </xf>
    <xf fontId="0" fillId="2" borderId="13" numFmtId="0" xfId="0" applyFill="1" applyBorder="1"/>
    <xf fontId="0" fillId="0" borderId="0" numFmtId="0" xfId="0" applyAlignment="1">
      <alignment horizontal="right"/>
    </xf>
    <xf fontId="0" fillId="0" borderId="11" numFmtId="0" xfId="0" applyBorder="1" applyAlignment="1">
      <alignment horizontal="right"/>
    </xf>
    <xf fontId="0" fillId="0" borderId="13" numFmtId="0" xfId="0" applyBorder="1" applyAlignment="1">
      <alignment horizontal="center"/>
    </xf>
    <xf fontId="0" fillId="0" borderId="14" numFmtId="0" xfId="0" applyBorder="1" applyAlignment="1">
      <alignment horizontal="center"/>
    </xf>
    <xf fontId="0" fillId="2" borderId="1" numFmtId="0" xfId="0" applyFill="1" applyBorder="1"/>
    <xf fontId="0" fillId="0" borderId="0" numFmtId="163" xfId="0" applyNumberFormat="1" applyAlignment="1">
      <alignment horizontal="center"/>
    </xf>
    <xf fontId="0" fillId="0" borderId="0" numFmtId="2" xfId="0" applyNumberFormat="1"/>
    <xf fontId="0" fillId="0" borderId="11" numFmtId="163" xfId="0" applyNumberFormat="1" applyBorder="1" applyAlignment="1">
      <alignment horizontal="center"/>
    </xf>
    <xf fontId="0" fillId="0" borderId="11" numFmtId="2" xfId="0" applyNumberFormat="1" applyBorder="1"/>
    <xf fontId="0" fillId="0" borderId="4" numFmtId="162" xfId="0" applyNumberFormat="1" applyBorder="1"/>
    <xf fontId="0" fillId="0" borderId="11" numFmtId="162" xfId="0" applyNumberFormat="1" applyBorder="1" applyAlignment="1">
      <alignment horizontal="center"/>
    </xf>
    <xf fontId="0" fillId="0" borderId="16" numFmtId="0" xfId="0" applyBorder="1"/>
    <xf fontId="0" fillId="0" borderId="4" numFmtId="0" xfId="0" applyBorder="1" applyAlignment="1">
      <alignment horizontal="right"/>
    </xf>
    <xf fontId="0" fillId="0" borderId="7" numFmtId="0" xfId="0" applyBorder="1" applyAlignment="1">
      <alignment horizontal="right"/>
    </xf>
    <xf fontId="0" fillId="0" borderId="10" numFmtId="0" xfId="0" applyBorder="1" applyAlignment="1">
      <alignment horizontal="center"/>
    </xf>
    <xf fontId="0" fillId="0" borderId="0" numFmtId="160" xfId="0" applyNumberFormat="1"/>
    <xf fontId="0" fillId="0" borderId="0" numFmtId="160" xfId="1" applyNumberFormat="1"/>
    <xf fontId="0" fillId="0" borderId="1" numFmtId="160" xfId="0" applyNumberFormat="1" applyBorder="1" applyAlignment="1">
      <alignment horizontal="center"/>
    </xf>
    <xf fontId="0" fillId="0" borderId="17" numFmtId="0" xfId="0" applyBorder="1"/>
    <xf fontId="0" fillId="0" borderId="11" numFmtId="160" xfId="0" applyNumberFormat="1" applyBorder="1"/>
    <xf fontId="0" fillId="0" borderId="16" numFmtId="0" xfId="0" applyBorder="1" applyAlignment="1">
      <alignment horizontal="center"/>
    </xf>
    <xf fontId="2" fillId="0" borderId="0" numFmtId="0" xfId="0" applyFont="1" applyAlignment="1">
      <alignment horizontal="left"/>
    </xf>
    <xf fontId="5" fillId="0" borderId="0" numFmtId="0" xfId="0" applyFont="1"/>
    <xf fontId="0" fillId="0" borderId="0" numFmtId="0" xfId="0" applyAlignment="1">
      <alignment horizontal="left"/>
    </xf>
    <xf fontId="0" fillId="0" borderId="0" numFmtId="0" xfId="0" applyAlignment="1">
      <alignment vertical="center"/>
    </xf>
    <xf fontId="2" fillId="0" borderId="0" numFmtId="0" xfId="0" applyFont="1" applyAlignment="1">
      <alignment vertical="center"/>
    </xf>
    <xf fontId="0" fillId="0" borderId="0" numFmtId="0" xfId="0" applyAlignment="1">
      <alignment horizontal="center" vertical="center"/>
    </xf>
    <xf fontId="0" fillId="0" borderId="1" numFmtId="0" xfId="0" applyBorder="1" applyAlignment="1">
      <alignment horizontal="center" vertical="center"/>
    </xf>
    <xf fontId="6" fillId="0" borderId="1" numFmtId="0" xfId="0" applyFont="1" applyBorder="1" applyAlignment="1">
      <alignment horizontal="center" vertical="center"/>
    </xf>
    <xf fontId="0" fillId="0" borderId="2" numFmtId="0" xfId="0" applyBorder="1" applyAlignment="1">
      <alignment vertical="center"/>
    </xf>
    <xf fontId="0" fillId="0" borderId="3" numFmtId="0" xfId="0" applyBorder="1" applyAlignment="1">
      <alignment vertical="center"/>
    </xf>
    <xf fontId="0" fillId="0" borderId="5" numFmtId="0" xfId="0" applyBorder="1" applyAlignment="1">
      <alignment vertical="center"/>
    </xf>
    <xf fontId="0" fillId="0" borderId="6" numFmtId="0" xfId="0" applyBorder="1" applyAlignment="1">
      <alignment vertical="center"/>
    </xf>
    <xf fontId="0" fillId="0" borderId="8" numFmtId="0" xfId="0" applyBorder="1" applyAlignment="1">
      <alignment vertical="center"/>
    </xf>
    <xf fontId="0" fillId="0" borderId="9" numFmtId="0" xfId="0" applyBorder="1" applyAlignment="1">
      <alignment vertical="center"/>
    </xf>
    <xf fontId="0" fillId="0" borderId="11" numFmtId="0" xfId="0" applyBorder="1" applyAlignment="1">
      <alignment horizontal="center" vertical="center"/>
    </xf>
    <xf fontId="0" fillId="0" borderId="11" numFmtId="0" xfId="0" applyBorder="1" applyAlignment="1">
      <alignment vertical="center"/>
    </xf>
    <xf fontId="4" fillId="0" borderId="15" numFmtId="0" xfId="0" applyFont="1" applyBorder="1" applyAlignment="1">
      <alignment horizontal="center" vertical="center"/>
    </xf>
    <xf fontId="0" fillId="0" borderId="4" numFmtId="0" xfId="0" applyBorder="1" applyAlignment="1">
      <alignment vertical="center"/>
    </xf>
    <xf fontId="0" fillId="0" borderId="16" numFmtId="0" xfId="0" applyBorder="1" applyAlignment="1">
      <alignment vertical="center"/>
    </xf>
    <xf fontId="0" fillId="0" borderId="7" numFmtId="0" xfId="0" applyBorder="1" applyAlignment="1">
      <alignment vertical="center"/>
    </xf>
    <xf fontId="0" fillId="0" borderId="10" numFmtId="0" xfId="0" applyBorder="1" applyAlignment="1">
      <alignment vertical="center"/>
    </xf>
    <xf fontId="0" fillId="0" borderId="9" numFmtId="0" xfId="0" applyBorder="1" applyAlignment="1">
      <alignment horizontal="center"/>
    </xf>
    <xf fontId="0" fillId="0" borderId="0" numFmtId="162" xfId="0" applyNumberFormat="1" applyProtection="1">
      <protection hidden="0" locked="0"/>
    </xf>
    <xf fontId="0" fillId="0" borderId="0" numFmtId="162" xfId="0" applyNumberFormat="1" applyAlignment="1" applyProtection="1">
      <alignment horizontal="center"/>
      <protection hidden="0" locked="0"/>
    </xf>
    <xf fontId="0" fillId="0" borderId="11" numFmtId="162" xfId="0" applyNumberFormat="1" applyBorder="1" applyAlignment="1" applyProtection="1">
      <alignment horizontal="center"/>
      <protection hidden="0" locked="0"/>
    </xf>
    <xf fontId="0" fillId="0" borderId="1" numFmtId="2" xfId="0" applyNumberFormat="1" applyBorder="1" applyAlignment="1">
      <alignment horizontal="center"/>
    </xf>
    <xf fontId="0" fillId="0" borderId="0" numFmtId="164" xfId="0" applyNumberFormat="1"/>
    <xf fontId="0" fillId="0" borderId="5" numFmtId="0" xfId="0" applyBorder="1" applyAlignment="1">
      <alignment horizontal="right"/>
    </xf>
    <xf fontId="0" fillId="0" borderId="6" numFmtId="0" xfId="0" applyBorder="1" applyAlignment="1">
      <alignment horizontal="right"/>
    </xf>
    <xf fontId="0" fillId="0" borderId="8" numFmtId="0" xfId="0" applyBorder="1" applyAlignment="1">
      <alignment horizontal="right"/>
    </xf>
    <xf fontId="0" fillId="0" borderId="9" numFmtId="0" xfId="0" applyBorder="1" applyAlignment="1">
      <alignment horizontal="right"/>
    </xf>
    <xf fontId="0" fillId="0" borderId="11" numFmtId="164" xfId="0" applyNumberFormat="1" applyBorder="1"/>
    <xf fontId="0" fillId="0" borderId="0" numFmtId="163" xfId="0" applyNumberFormat="1"/>
    <xf fontId="0" fillId="0" borderId="0" numFmtId="162" xfId="0" applyNumberFormat="1"/>
    <xf fontId="0" fillId="0" borderId="11" numFmtId="163" xfId="0" applyNumberFormat="1" applyBorder="1"/>
    <xf fontId="0" fillId="0" borderId="0" numFmtId="165" xfId="0" applyNumberFormat="1"/>
    <xf fontId="0" fillId="0" borderId="11" numFmtId="162" xfId="0" applyNumberFormat="1" applyBorder="1"/>
    <xf fontId="0" fillId="0" borderId="11" numFmtId="165" xfId="0" applyNumberFormat="1" applyBorder="1"/>
    <xf fontId="0" fillId="3" borderId="18" numFmtId="0" xfId="0" applyFill="1" applyBorder="1"/>
    <xf fontId="0" fillId="4" borderId="18" numFmtId="0" xfId="0" applyFill="1" applyBorder="1"/>
    <xf fontId="0" fillId="5" borderId="18" numFmtId="0" xfId="0" applyFill="1" applyBorder="1"/>
    <xf fontId="0" fillId="3" borderId="18" numFmtId="162" xfId="0" applyNumberFormat="1" applyFill="1" applyBorder="1"/>
    <xf fontId="0" fillId="3" borderId="18" numFmtId="165" xfId="0" applyNumberFormat="1" applyFill="1" applyBorder="1"/>
    <xf fontId="0" fillId="3" borderId="11" numFmtId="0" xfId="0" applyFill="1" applyBorder="1"/>
    <xf fontId="0" fillId="4" borderId="11" numFmtId="0" xfId="0" applyFill="1" applyBorder="1"/>
    <xf fontId="0" fillId="5" borderId="11" numFmtId="0" xfId="0" applyFill="1" applyBorder="1"/>
    <xf fontId="0" fillId="3" borderId="11" numFmtId="162" xfId="0" applyNumberFormat="1" applyFill="1" applyBorder="1"/>
    <xf fontId="0" fillId="3" borderId="11" numFmtId="165" xfId="0" applyNumberFormat="1" applyFill="1" applyBorder="1"/>
    <xf fontId="0" fillId="0" borderId="0" numFmtId="166" xfId="0" applyNumberFormat="1"/>
    <xf fontId="0" fillId="0" borderId="11" numFmtId="162" xfId="0" applyNumberFormat="1" applyBorder="1" applyAlignment="1">
      <alignment horizontal="right"/>
    </xf>
    <xf fontId="0" fillId="0" borderId="11" numFmtId="166" xfId="0" applyNumberFormat="1" applyBorder="1" applyAlignment="1">
      <alignment horizontal="right"/>
    </xf>
    <xf fontId="0" fillId="0" borderId="11" numFmtId="166" xfId="0" applyNumberFormat="1" applyBorder="1"/>
    <xf fontId="0" fillId="0" borderId="0" numFmtId="166" xfId="0" applyNumberFormat="1" applyAlignment="1">
      <alignment horizontal="right"/>
    </xf>
    <xf fontId="0" fillId="0" borderId="11" numFmtId="166" xfId="0" applyNumberFormat="1" applyBorder="1" applyAlignment="1">
      <alignment horizontal="center"/>
    </xf>
    <xf fontId="7" fillId="0" borderId="0" numFmtId="0" xfId="0" applyFont="1"/>
    <xf fontId="8" fillId="0" borderId="11" numFmtId="0" xfId="0" applyFont="1" applyBorder="1" applyAlignment="1">
      <alignment horizontal="center" vertical="center"/>
    </xf>
    <xf fontId="8" fillId="0" borderId="0" numFmtId="0" xfId="0" applyFont="1" applyAlignment="1">
      <alignment horizontal="center" vertical="center"/>
    </xf>
    <xf fontId="0" fillId="0" borderId="13" numFmtId="2" xfId="0" applyNumberFormat="1" applyBorder="1"/>
    <xf fontId="0" fillId="0" borderId="1" numFmtId="165" xfId="0" applyNumberFormat="1" applyBorder="1"/>
    <xf fontId="0" fillId="0" borderId="1" numFmtId="2" xfId="0" applyNumberFormat="1" applyBorder="1"/>
    <xf fontId="0" fillId="0" borderId="14" numFmtId="2" xfId="0" applyNumberFormat="1" applyBorder="1"/>
    <xf fontId="0" fillId="0" borderId="2" numFmtId="165" xfId="0" applyNumberFormat="1" applyBorder="1"/>
    <xf fontId="0" fillId="0" borderId="16" numFmtId="165" xfId="0" applyNumberFormat="1" applyBorder="1"/>
    <xf fontId="0" fillId="0" borderId="3" numFmtId="165" xfId="0" applyNumberFormat="1" applyBorder="1"/>
    <xf fontId="0" fillId="0" borderId="5" numFmtId="165" xfId="0" applyNumberFormat="1" applyBorder="1"/>
    <xf fontId="0" fillId="0" borderId="6" numFmtId="165" xfId="0" applyNumberFormat="1" applyBorder="1"/>
    <xf fontId="0" fillId="0" borderId="8" numFmtId="165" xfId="0" applyNumberFormat="1" applyBorder="1"/>
    <xf fontId="0" fillId="0" borderId="9" numFmtId="165" xfId="0" applyNumberFormat="1" applyBorder="1"/>
  </cellXfs>
  <cellStyles count="3">
    <cellStyle name="Normal" xfId="0" builtinId="0"/>
    <cellStyle name="Comma" xfId="1" builtinId="3"/>
    <cellStyle name="Hyperlink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116" Type="http://schemas.openxmlformats.org/officeDocument/2006/relationships/styles" Target="styles.xml"/><Relationship  Id="rId113" Type="http://schemas.openxmlformats.org/officeDocument/2006/relationships/worksheet" Target="worksheets/sheet113.xml"/><Relationship  Id="rId112" Type="http://schemas.openxmlformats.org/officeDocument/2006/relationships/worksheet" Target="worksheets/sheet112.xml"/><Relationship  Id="rId108" Type="http://schemas.openxmlformats.org/officeDocument/2006/relationships/worksheet" Target="worksheets/sheet108.xml"/><Relationship  Id="rId106" Type="http://schemas.openxmlformats.org/officeDocument/2006/relationships/worksheet" Target="worksheets/sheet106.xml"/><Relationship  Id="rId107" Type="http://schemas.openxmlformats.org/officeDocument/2006/relationships/worksheet" Target="worksheets/sheet107.xml"/><Relationship  Id="rId105" Type="http://schemas.openxmlformats.org/officeDocument/2006/relationships/worksheet" Target="worksheets/sheet105.xml"/><Relationship  Id="rId103" Type="http://schemas.openxmlformats.org/officeDocument/2006/relationships/worksheet" Target="worksheets/sheet103.xml"/><Relationship  Id="rId101" Type="http://schemas.openxmlformats.org/officeDocument/2006/relationships/worksheet" Target="worksheets/sheet101.xml"/><Relationship  Id="rId99" Type="http://schemas.openxmlformats.org/officeDocument/2006/relationships/worksheet" Target="worksheets/sheet99.xml"/><Relationship  Id="rId95" Type="http://schemas.openxmlformats.org/officeDocument/2006/relationships/worksheet" Target="worksheets/sheet95.xml"/><Relationship  Id="rId93" Type="http://schemas.openxmlformats.org/officeDocument/2006/relationships/worksheet" Target="worksheets/sheet93.xml"/><Relationship  Id="rId91" Type="http://schemas.openxmlformats.org/officeDocument/2006/relationships/worksheet" Target="worksheets/sheet91.xml"/><Relationship  Id="rId90" Type="http://schemas.openxmlformats.org/officeDocument/2006/relationships/worksheet" Target="worksheets/sheet90.xml"/><Relationship  Id="rId86" Type="http://schemas.openxmlformats.org/officeDocument/2006/relationships/worksheet" Target="worksheets/sheet86.xml"/><Relationship  Id="rId83" Type="http://schemas.openxmlformats.org/officeDocument/2006/relationships/worksheet" Target="worksheets/sheet83.xml"/><Relationship  Id="rId82" Type="http://schemas.openxmlformats.org/officeDocument/2006/relationships/worksheet" Target="worksheets/sheet82.xml"/><Relationship  Id="rId80" Type="http://schemas.openxmlformats.org/officeDocument/2006/relationships/worksheet" Target="worksheets/sheet80.xml"/><Relationship  Id="rId79" Type="http://schemas.openxmlformats.org/officeDocument/2006/relationships/worksheet" Target="worksheets/sheet79.xml"/><Relationship  Id="rId77" Type="http://schemas.openxmlformats.org/officeDocument/2006/relationships/worksheet" Target="worksheets/sheet77.xml"/><Relationship  Id="rId109" Type="http://schemas.openxmlformats.org/officeDocument/2006/relationships/worksheet" Target="worksheets/sheet109.xml"/><Relationship  Id="rId94" Type="http://schemas.openxmlformats.org/officeDocument/2006/relationships/worksheet" Target="worksheets/sheet94.xml"/><Relationship  Id="rId76" Type="http://schemas.openxmlformats.org/officeDocument/2006/relationships/worksheet" Target="worksheets/sheet76.xml"/><Relationship  Id="rId75" Type="http://schemas.openxmlformats.org/officeDocument/2006/relationships/worksheet" Target="worksheets/sheet75.xml"/><Relationship  Id="rId115" Type="http://schemas.openxmlformats.org/officeDocument/2006/relationships/sharedStrings" Target="sharedStrings.xml"/><Relationship  Id="rId73" Type="http://schemas.openxmlformats.org/officeDocument/2006/relationships/worksheet" Target="worksheets/sheet73.xml"/><Relationship  Id="rId100" Type="http://schemas.openxmlformats.org/officeDocument/2006/relationships/worksheet" Target="worksheets/sheet100.xml"/><Relationship  Id="rId72" Type="http://schemas.openxmlformats.org/officeDocument/2006/relationships/worksheet" Target="worksheets/sheet72.xml"/><Relationship  Id="rId88" Type="http://schemas.openxmlformats.org/officeDocument/2006/relationships/worksheet" Target="worksheets/sheet88.xml"/><Relationship  Id="rId69" Type="http://schemas.openxmlformats.org/officeDocument/2006/relationships/worksheet" Target="worksheets/sheet69.xml"/><Relationship  Id="rId68" Type="http://schemas.openxmlformats.org/officeDocument/2006/relationships/worksheet" Target="worksheets/sheet68.xml"/><Relationship  Id="rId67" Type="http://schemas.openxmlformats.org/officeDocument/2006/relationships/worksheet" Target="worksheets/sheet67.xml"/><Relationship  Id="rId65" Type="http://schemas.openxmlformats.org/officeDocument/2006/relationships/worksheet" Target="worksheets/sheet65.xml"/><Relationship  Id="rId64" Type="http://schemas.openxmlformats.org/officeDocument/2006/relationships/worksheet" Target="worksheets/sheet64.xml"/><Relationship  Id="rId85" Type="http://schemas.openxmlformats.org/officeDocument/2006/relationships/worksheet" Target="worksheets/sheet85.xml"/><Relationship  Id="rId81" Type="http://schemas.openxmlformats.org/officeDocument/2006/relationships/worksheet" Target="worksheets/sheet81.xml"/><Relationship  Id="rId59" Type="http://schemas.openxmlformats.org/officeDocument/2006/relationships/worksheet" Target="worksheets/sheet59.xml"/><Relationship  Id="rId58" Type="http://schemas.openxmlformats.org/officeDocument/2006/relationships/worksheet" Target="worksheets/sheet58.xml"/><Relationship  Id="rId55" Type="http://schemas.openxmlformats.org/officeDocument/2006/relationships/worksheet" Target="worksheets/sheet55.xml"/><Relationship  Id="rId54" Type="http://schemas.openxmlformats.org/officeDocument/2006/relationships/worksheet" Target="worksheets/sheet54.xml"/><Relationship  Id="rId56" Type="http://schemas.openxmlformats.org/officeDocument/2006/relationships/worksheet" Target="worksheets/sheet56.xml"/><Relationship  Id="rId98" Type="http://schemas.openxmlformats.org/officeDocument/2006/relationships/worksheet" Target="worksheets/sheet98.xml"/><Relationship  Id="rId50" Type="http://schemas.openxmlformats.org/officeDocument/2006/relationships/worksheet" Target="worksheets/sheet50.xml"/><Relationship  Id="rId62" Type="http://schemas.openxmlformats.org/officeDocument/2006/relationships/worksheet" Target="worksheets/sheet62.xml"/><Relationship  Id="rId49" Type="http://schemas.openxmlformats.org/officeDocument/2006/relationships/worksheet" Target="worksheets/sheet49.xml"/><Relationship  Id="rId48" Type="http://schemas.openxmlformats.org/officeDocument/2006/relationships/worksheet" Target="worksheets/sheet48.xml"/><Relationship  Id="rId57" Type="http://schemas.openxmlformats.org/officeDocument/2006/relationships/worksheet" Target="worksheets/sheet57.xml"/><Relationship  Id="rId45" Type="http://schemas.openxmlformats.org/officeDocument/2006/relationships/worksheet" Target="worksheets/sheet45.xml"/><Relationship  Id="rId47" Type="http://schemas.openxmlformats.org/officeDocument/2006/relationships/worksheet" Target="worksheets/sheet47.xml"/><Relationship  Id="rId70" Type="http://schemas.openxmlformats.org/officeDocument/2006/relationships/worksheet" Target="worksheets/sheet70.xml"/><Relationship  Id="rId43" Type="http://schemas.openxmlformats.org/officeDocument/2006/relationships/worksheet" Target="worksheets/sheet43.xml"/><Relationship  Id="rId42" Type="http://schemas.openxmlformats.org/officeDocument/2006/relationships/worksheet" Target="worksheets/sheet42.xml"/><Relationship  Id="rId97" Type="http://schemas.openxmlformats.org/officeDocument/2006/relationships/worksheet" Target="worksheets/sheet97.xml"/><Relationship  Id="rId96" Type="http://schemas.openxmlformats.org/officeDocument/2006/relationships/worksheet" Target="worksheets/sheet96.xml"/><Relationship  Id="rId41" Type="http://schemas.openxmlformats.org/officeDocument/2006/relationships/worksheet" Target="worksheets/sheet41.xml"/><Relationship  Id="rId74" Type="http://schemas.openxmlformats.org/officeDocument/2006/relationships/worksheet" Target="worksheets/sheet74.xml"/><Relationship  Id="rId40" Type="http://schemas.openxmlformats.org/officeDocument/2006/relationships/worksheet" Target="worksheets/sheet40.xml"/><Relationship  Id="rId92" Type="http://schemas.openxmlformats.org/officeDocument/2006/relationships/worksheet" Target="worksheets/sheet92.xml"/><Relationship  Id="rId39" Type="http://schemas.openxmlformats.org/officeDocument/2006/relationships/worksheet" Target="worksheets/sheet39.xml"/><Relationship  Id="rId37" Type="http://schemas.openxmlformats.org/officeDocument/2006/relationships/worksheet" Target="worksheets/sheet37.xml"/><Relationship  Id="rId89" Type="http://schemas.openxmlformats.org/officeDocument/2006/relationships/worksheet" Target="worksheets/sheet89.xml"/><Relationship  Id="rId34" Type="http://schemas.openxmlformats.org/officeDocument/2006/relationships/worksheet" Target="worksheets/sheet34.xml"/><Relationship  Id="rId33" Type="http://schemas.openxmlformats.org/officeDocument/2006/relationships/worksheet" Target="worksheets/sheet33.xml"/><Relationship  Id="rId31" Type="http://schemas.openxmlformats.org/officeDocument/2006/relationships/worksheet" Target="worksheets/sheet31.xml"/><Relationship  Id="rId110" Type="http://schemas.openxmlformats.org/officeDocument/2006/relationships/worksheet" Target="worksheets/sheet110.xml"/><Relationship  Id="rId78" Type="http://schemas.openxmlformats.org/officeDocument/2006/relationships/worksheet" Target="worksheets/sheet78.xml"/><Relationship  Id="rId28" Type="http://schemas.openxmlformats.org/officeDocument/2006/relationships/worksheet" Target="worksheets/sheet28.xml"/><Relationship  Id="rId24" Type="http://schemas.openxmlformats.org/officeDocument/2006/relationships/worksheet" Target="worksheets/sheet24.xml"/><Relationship  Id="rId114" Type="http://schemas.openxmlformats.org/officeDocument/2006/relationships/theme" Target="theme/theme1.xml"/><Relationship  Id="rId23" Type="http://schemas.openxmlformats.org/officeDocument/2006/relationships/worksheet" Target="worksheets/sheet23.xml"/><Relationship  Id="rId36" Type="http://schemas.openxmlformats.org/officeDocument/2006/relationships/worksheet" Target="worksheets/sheet36.xml"/><Relationship  Id="rId53" Type="http://schemas.openxmlformats.org/officeDocument/2006/relationships/worksheet" Target="worksheets/sheet53.xml"/><Relationship  Id="rId27" Type="http://schemas.openxmlformats.org/officeDocument/2006/relationships/worksheet" Target="worksheets/sheet27.xml"/><Relationship  Id="rId111" Type="http://schemas.openxmlformats.org/officeDocument/2006/relationships/worksheet" Target="worksheets/sheet111.xml"/><Relationship  Id="rId21" Type="http://schemas.openxmlformats.org/officeDocument/2006/relationships/worksheet" Target="worksheets/sheet21.xml"/><Relationship  Id="rId102" Type="http://schemas.openxmlformats.org/officeDocument/2006/relationships/worksheet" Target="worksheets/sheet102.xml"/><Relationship  Id="rId46" Type="http://schemas.openxmlformats.org/officeDocument/2006/relationships/worksheet" Target="worksheets/sheet46.xml"/><Relationship  Id="rId104" Type="http://schemas.openxmlformats.org/officeDocument/2006/relationships/worksheet" Target="worksheets/sheet104.xml"/><Relationship  Id="rId19" Type="http://schemas.openxmlformats.org/officeDocument/2006/relationships/worksheet" Target="worksheets/sheet19.xml"/><Relationship  Id="rId18" Type="http://schemas.openxmlformats.org/officeDocument/2006/relationships/worksheet" Target="worksheets/sheet18.xml"/><Relationship  Id="rId51" Type="http://schemas.openxmlformats.org/officeDocument/2006/relationships/worksheet" Target="worksheets/sheet51.xml"/><Relationship  Id="rId17" Type="http://schemas.openxmlformats.org/officeDocument/2006/relationships/worksheet" Target="worksheets/sheet17.xml"/><Relationship  Id="rId87" Type="http://schemas.openxmlformats.org/officeDocument/2006/relationships/worksheet" Target="worksheets/sheet87.xml"/><Relationship  Id="rId15" Type="http://schemas.openxmlformats.org/officeDocument/2006/relationships/worksheet" Target="worksheets/sheet15.xml"/><Relationship  Id="rId11" Type="http://schemas.openxmlformats.org/officeDocument/2006/relationships/worksheet" Target="worksheets/sheet11.xml"/><Relationship  Id="rId16" Type="http://schemas.openxmlformats.org/officeDocument/2006/relationships/worksheet" Target="worksheets/sheet16.xml"/><Relationship  Id="rId66" Type="http://schemas.openxmlformats.org/officeDocument/2006/relationships/worksheet" Target="worksheets/sheet66.xml"/><Relationship  Id="rId22" Type="http://schemas.openxmlformats.org/officeDocument/2006/relationships/worksheet" Target="worksheets/sheet22.xml"/><Relationship  Id="rId38" Type="http://schemas.openxmlformats.org/officeDocument/2006/relationships/worksheet" Target="worksheets/sheet38.xml"/><Relationship  Id="rId84" Type="http://schemas.openxmlformats.org/officeDocument/2006/relationships/worksheet" Target="worksheets/sheet84.xml"/><Relationship  Id="rId10" Type="http://schemas.openxmlformats.org/officeDocument/2006/relationships/worksheet" Target="worksheets/sheet10.xml"/><Relationship  Id="rId7" Type="http://schemas.openxmlformats.org/officeDocument/2006/relationships/worksheet" Target="worksheets/sheet7.xml"/><Relationship  Id="rId14" Type="http://schemas.openxmlformats.org/officeDocument/2006/relationships/worksheet" Target="worksheets/sheet14.xml"/><Relationship  Id="rId6" Type="http://schemas.openxmlformats.org/officeDocument/2006/relationships/worksheet" Target="worksheets/sheet6.xml"/><Relationship  Id="rId13" Type="http://schemas.openxmlformats.org/officeDocument/2006/relationships/worksheet" Target="worksheets/sheet13.xml"/><Relationship  Id="rId44" Type="http://schemas.openxmlformats.org/officeDocument/2006/relationships/worksheet" Target="worksheets/sheet44.xml"/><Relationship  Id="rId9" Type="http://schemas.openxmlformats.org/officeDocument/2006/relationships/worksheet" Target="worksheets/sheet9.xml"/><Relationship  Id="rId32" Type="http://schemas.openxmlformats.org/officeDocument/2006/relationships/worksheet" Target="worksheets/sheet32.xml"/><Relationship  Id="rId5" Type="http://schemas.openxmlformats.org/officeDocument/2006/relationships/worksheet" Target="worksheets/sheet5.xml"/><Relationship  Id="rId4" Type="http://schemas.openxmlformats.org/officeDocument/2006/relationships/worksheet" Target="worksheets/sheet4.xml"/><Relationship  Id="rId8" Type="http://schemas.openxmlformats.org/officeDocument/2006/relationships/worksheet" Target="worksheets/sheet8.xml"/><Relationship  Id="rId52" Type="http://schemas.openxmlformats.org/officeDocument/2006/relationships/worksheet" Target="worksheets/sheet52.xml"/><Relationship  Id="rId60" Type="http://schemas.openxmlformats.org/officeDocument/2006/relationships/worksheet" Target="worksheets/sheet60.xml"/><Relationship  Id="rId26" Type="http://schemas.openxmlformats.org/officeDocument/2006/relationships/worksheet" Target="worksheets/sheet26.xml"/><Relationship  Id="rId12" Type="http://schemas.openxmlformats.org/officeDocument/2006/relationships/worksheet" Target="worksheets/sheet12.xml"/><Relationship  Id="rId35" Type="http://schemas.openxmlformats.org/officeDocument/2006/relationships/worksheet" Target="worksheets/sheet35.xml"/><Relationship  Id="rId61" Type="http://schemas.openxmlformats.org/officeDocument/2006/relationships/worksheet" Target="worksheets/sheet61.xml"/><Relationship  Id="rId29" Type="http://schemas.openxmlformats.org/officeDocument/2006/relationships/worksheet" Target="worksheets/sheet29.xml"/><Relationship  Id="rId3" Type="http://schemas.openxmlformats.org/officeDocument/2006/relationships/worksheet" Target="worksheets/sheet3.xml"/><Relationship  Id="rId30" Type="http://schemas.openxmlformats.org/officeDocument/2006/relationships/worksheet" Target="worksheets/sheet30.xml"/><Relationship  Id="rId2" Type="http://schemas.openxmlformats.org/officeDocument/2006/relationships/worksheet" Target="worksheets/sheet2.xml"/><Relationship  Id="rId25" Type="http://schemas.openxmlformats.org/officeDocument/2006/relationships/worksheet" Target="worksheets/sheet25.xml"/><Relationship  Id="rId71" Type="http://schemas.openxmlformats.org/officeDocument/2006/relationships/worksheet" Target="worksheets/sheet71.xml"/><Relationship  Id="rId20" Type="http://schemas.openxmlformats.org/officeDocument/2006/relationships/worksheet" Target="worksheets/sheet20.xml"/><Relationship  Id="rId63" Type="http://schemas.openxmlformats.org/officeDocument/2006/relationships/worksheet" Target="worksheets/sheet63.xml"/><Relationship  Id="rId1" Type="http://schemas.openxmlformats.org/officeDocument/2006/relationships/worksheet" Target="worksheets/sheet1.xml"/></Relationships>
</file>

<file path=xl/charts/_rels/chart1.xml.rels><?xml version="1.0" encoding="UTF-8" standalone="yes"?><Relationships xmlns="http://schemas.openxmlformats.org/package/2006/relationships"></Relationships>
</file>

<file path=xl/charts/_rels/chart2.xml.rels><?xml version="1.0" encoding="UTF-8" standalone="yes"?><Relationships xmlns="http://schemas.openxmlformats.org/package/2006/relationships"></Relationships>
</file>

<file path=xl/charts/_rels/chart3.xml.rels><?xml version="1.0" encoding="UTF-8" standalone="yes"?><Relationships xmlns="http://schemas.openxmlformats.org/package/2006/relationships"></Relationships>
</file>

<file path=xl/charts/_rels/chart4.xml.rels><?xml version="1.0" encoding="UTF-8" standalone="yes"?><Relationships xmlns="http://schemas.openxmlformats.org/package/2006/relationships"></Relationships>
</file>

<file path=xl/charts/_rels/chart5.xml.rels><?xml version="1.0" encoding="UTF-8" standalone="yes"?><Relationships xmlns="http://schemas.openxmlformats.org/package/2006/relationships"></Relationships>
</file>

<file path=xl/charts/_rels/chart6.xml.rels><?xml version="1.0" encoding="UTF-8" standalone="yes"?><Relationships xmlns="http://schemas.openxmlformats.org/package/2006/relationships"></Relationships>
</file>

<file path=xl/charts/_rels/chart7.xml.rels><?xml version="1.0" encoding="UTF-8" standalone="yes"?><Relationships xmlns="http://schemas.openxmlformats.org/package/2006/relationships"></Relationships>
</file>

<file path=xl/charts/_rels/chart8.xml.rels><?xml version="1.0" encoding="UTF-8" standalone="yes"?><Relationships xmlns="http://schemas.openxmlformats.org/package/2006/relationships"></Relationships>
</file>

<file path=xl/charts/_rels/chart9.xml.rels><?xml version="1.0" encoding="UTF-8" standalone="yes"?><Relationships xmlns="http://schemas.openxmlformats.org/package/2006/relationships"></Relationships>
</file>

<file path=xl/charts/_rels/chart10.xml.rels><?xml version="1.0" encoding="UTF-8" standalone="yes"?><Relationships xmlns="http://schemas.openxmlformats.org/package/2006/relationships"></Relationships>
</file>

<file path=xl/charts/_rels/chart11.xml.rels><?xml version="1.0" encoding="UTF-8" standalone="yes"?><Relationships xmlns="http://schemas.openxmlformats.org/package/2006/relationships"></Relationships>
</file>

<file path=xl/charts/_rels/chart12.xml.rels><?xml version="1.0" encoding="UTF-8" standalone="yes"?><Relationships xmlns="http://schemas.openxmlformats.org/package/2006/relationships"></Relationships>
</file>

<file path=xl/charts/_rels/chart13.xml.rels><?xml version="1.0" encoding="UTF-8" standalone="yes"?><Relationships xmlns="http://schemas.openxmlformats.org/package/2006/relationships"></Relationships>
</file>

<file path=xl/charts/_rels/chart14.xml.rels><?xml version="1.0" encoding="UTF-8" standalone="yes"?><Relationships xmlns="http://schemas.openxmlformats.org/package/2006/relationships"></Relationships>
</file>

<file path=xl/charts/_rels/chart15.xml.rels><?xml version="1.0" encoding="UTF-8" standalone="yes"?><Relationships xmlns="http://schemas.openxmlformats.org/package/2006/relationships"></Relationships>
</file>

<file path=xl/charts/_rels/chart16.xml.rels><?xml version="1.0" encoding="UTF-8" standalone="yes"?><Relationships xmlns="http://schemas.openxmlformats.org/package/2006/relationships"></Relationships>
</file>

<file path=xl/charts/_rels/chart17.xml.rels><?xml version="1.0" encoding="UTF-8" standalone="yes"?><Relationships xmlns="http://schemas.openxmlformats.org/package/2006/relationships"></Relationships>
</file>

<file path=xl/charts/_rels/chart18.xml.rels><?xml version="1.0" encoding="UTF-8" standalone="yes"?><Relationships xmlns="http://schemas.openxmlformats.org/package/2006/relationships"></Relationships>
</file>

<file path=xl/charts/_rels/chart19.xml.rels><?xml version="1.0" encoding="UTF-8" standalone="yes"?><Relationships xmlns="http://schemas.openxmlformats.org/package/2006/relationships"></Relationships>
</file>

<file path=xl/charts/_rels/chart20.xml.rels><?xml version="1.0" encoding="UTF-8" standalone="yes"?><Relationships xmlns="http://schemas.openxmlformats.org/package/2006/relationships"></Relationships>
</file>

<file path=xl/charts/_rels/chart21.xml.rels><?xml version="1.0" encoding="UTF-8" standalone="yes"?><Relationships xmlns="http://schemas.openxmlformats.org/package/2006/relationships"></Relationships>
</file>

<file path=xl/charts/_rels/chart22.xml.rels><?xml version="1.0" encoding="UTF-8" standalone="yes"?><Relationships xmlns="http://schemas.openxmlformats.org/package/2006/relationships"></Relationships>
</file>

<file path=xl/charts/_rels/chart23.xml.rels><?xml version="1.0" encoding="UTF-8" standalone="yes"?><Relationships xmlns="http://schemas.openxmlformats.org/package/2006/relationships"></Relationships>
</file>

<file path=xl/charts/_rels/chart24.xml.rels><?xml version="1.0" encoding="UTF-8" standalone="yes"?><Relationships xmlns="http://schemas.openxmlformats.org/package/2006/relationships"></Relationships>
</file>

<file path=xl/charts/_rels/chart25.xml.rels><?xml version="1.0" encoding="UTF-8" standalone="yes"?><Relationships xmlns="http://schemas.openxmlformats.org/package/2006/relationships"></Relationships>
</file>

<file path=xl/charts/_rels/chart26.xml.rels><?xml version="1.0" encoding="UTF-8" standalone="yes"?><Relationships xmlns="http://schemas.openxmlformats.org/package/2006/relationships"></Relationships>
</file>

<file path=xl/charts/_rels/chart27.xml.rels><?xml version="1.0" encoding="UTF-8" standalone="yes"?><Relationships xmlns="http://schemas.openxmlformats.org/package/2006/relationships"></Relationships>
</file>

<file path=xl/charts/_rels/chart28.xml.rels><?xml version="1.0" encoding="UTF-8" standalone="yes"?><Relationships xmlns="http://schemas.openxmlformats.org/package/2006/relationships"></Relationships>
</file>

<file path=xl/charts/_rels/chart29.xml.rels><?xml version="1.0" encoding="UTF-8" standalone="yes"?><Relationships xmlns="http://schemas.openxmlformats.org/package/2006/relationships"></Relationships>
</file>

<file path=xl/charts/_rels/chart30.xml.rels><?xml version="1.0" encoding="UTF-8" standalone="yes"?><Relationships xmlns="http://schemas.openxmlformats.org/package/2006/relationships"></Relationships>
</file>

<file path=xl/charts/_rels/chart31.xml.rels><?xml version="1.0" encoding="UTF-8" standalone="yes"?><Relationships xmlns="http://schemas.openxmlformats.org/package/2006/relationships"></Relationships>
</file>

<file path=xl/charts/_rels/chart32.xml.rels><?xml version="1.0" encoding="UTF-8" standalone="yes"?><Relationships xmlns="http://schemas.openxmlformats.org/package/2006/relationships"></Relationships>
</file>

<file path=xl/charts/_rels/chart33.xml.rels><?xml version="1.0" encoding="UTF-8" standalone="yes"?><Relationships xmlns="http://schemas.openxmlformats.org/package/2006/relationships"></Relationships>
</file>

<file path=xl/charts/_rels/chart34.xml.rels><?xml version="1.0" encoding="UTF-8" standalone="yes"?><Relationships xmlns="http://schemas.openxmlformats.org/package/2006/relationships"></Relationships>
</file>

<file path=xl/charts/_rels/chart35.xml.rels><?xml version="1.0" encoding="UTF-8" standalone="yes"?><Relationships xmlns="http://schemas.openxmlformats.org/package/2006/relationships"></Relationships>
</file>

<file path=xl/charts/_rels/chart36.xml.rels><?xml version="1.0" encoding="UTF-8" standalone="yes"?><Relationships xmlns="http://schemas.openxmlformats.org/package/2006/relationships"></Relationships>
</file>

<file path=xl/charts/_rels/chart37.xml.rels><?xml version="1.0" encoding="UTF-8" standalone="yes"?><Relationships xmlns="http://schemas.openxmlformats.org/package/2006/relationships"></Relationships>
</file>

<file path=xl/charts/_rels/chart38.xml.rels><?xml version="1.0" encoding="UTF-8" standalone="yes"?><Relationships xmlns="http://schemas.openxmlformats.org/package/2006/relationships"></Relationships>
</file>

<file path=xl/charts/_rels/chart39.xml.rels><?xml version="1.0" encoding="UTF-8" standalone="yes"?><Relationships xmlns="http://schemas.openxmlformats.org/package/2006/relationships"></Relationships>
</file>

<file path=xl/charts/_rels/chart40.xml.rels><?xml version="1.0" encoding="UTF-8" standalone="yes"?><Relationships xmlns="http://schemas.openxmlformats.org/package/2006/relationships"></Relationships>
</file>

<file path=xl/charts/_rels/chart41.xml.rels><?xml version="1.0" encoding="UTF-8" standalone="yes"?><Relationships xmlns="http://schemas.openxmlformats.org/package/2006/relationships"></Relationships>
</file>

<file path=xl/charts/_rels/chart42.xml.rels><?xml version="1.0" encoding="UTF-8" standalone="yes"?><Relationships xmlns="http://schemas.openxmlformats.org/package/2006/relationships"></Relationships>
</file>

<file path=xl/charts/_rels/chart43.xml.rels><?xml version="1.0" encoding="UTF-8" standalone="yes"?><Relationships xmlns="http://schemas.openxmlformats.org/package/2006/relationships"></Relationships>
</file>

<file path=xl/charts/_rels/chart44.xml.rels><?xml version="1.0" encoding="UTF-8" standalone="yes"?><Relationships xmlns="http://schemas.openxmlformats.org/package/2006/relationships"></Relationships>
</file>

<file path=xl/charts/_rels/chart45.xml.rels><?xml version="1.0" encoding="UTF-8" standalone="yes"?><Relationships xmlns="http://schemas.openxmlformats.org/package/2006/relationships"></Relationships>
</file>

<file path=xl/charts/_rels/chart46.xml.rels><?xml version="1.0" encoding="UTF-8" standalone="yes"?><Relationships xmlns="http://schemas.openxmlformats.org/package/2006/relationships"></Relationships>
</file>

<file path=xl/charts/_rels/chart47.xml.rels><?xml version="1.0" encoding="UTF-8" standalone="yes"?><Relationships xmlns="http://schemas.openxmlformats.org/package/2006/relationships"></Relationships>
</file>

<file path=xl/charts/_rels/chart48.xml.rels><?xml version="1.0" encoding="UTF-8" standalone="yes"?><Relationships xmlns="http://schemas.openxmlformats.org/package/2006/relationships"></Relationships>
</file>

<file path=xl/charts/_rels/chart49.xml.rels><?xml version="1.0" encoding="UTF-8" standalone="yes"?><Relationships xmlns="http://schemas.openxmlformats.org/package/2006/relationships"></Relationships>
</file>

<file path=xl/charts/_rels/chart50.xml.rels><?xml version="1.0" encoding="UTF-8" standalone="yes"?><Relationships xmlns="http://schemas.openxmlformats.org/package/2006/relationships"></Relationships>
</file>

<file path=xl/charts/_rels/chart51.xml.rels><?xml version="1.0" encoding="UTF-8" standalone="yes"?><Relationships xmlns="http://schemas.openxmlformats.org/package/2006/relationships"></Relationships>
</file>

<file path=xl/charts/_rels/chart52.xml.rels><?xml version="1.0" encoding="UTF-8" standalone="yes"?><Relationships xmlns="http://schemas.openxmlformats.org/package/2006/relationships"></Relationships>
</file>

<file path=xl/charts/_rels/chart53.xml.rels><?xml version="1.0" encoding="UTF-8" standalone="yes"?><Relationships xmlns="http://schemas.openxmlformats.org/package/2006/relationships"></Relationships>
</file>

<file path=xl/charts/_rels/chart54.xml.rels><?xml version="1.0" encoding="UTF-8" standalone="yes"?><Relationships xmlns="http://schemas.openxmlformats.org/package/2006/relationships"></Relationships>
</file>

<file path=xl/charts/_rels/chart55.xml.rels><?xml version="1.0" encoding="UTF-8" standalone="yes"?><Relationships xmlns="http://schemas.openxmlformats.org/package/2006/relationships"></Relationships>
</file>

<file path=xl/charts/_rels/chart56.xml.rels><?xml version="1.0" encoding="UTF-8" standalone="yes"?><Relationships xmlns="http://schemas.openxmlformats.org/package/2006/relationships"></Relationships>
</file>

<file path=xl/charts/_rels/chart57.xml.rels><?xml version="1.0" encoding="UTF-8" standalone="yes"?><Relationships xmlns="http://schemas.openxmlformats.org/package/2006/relationships"></Relationships>
</file>

<file path=xl/charts/_rels/chart58.xml.rels><?xml version="1.0" encoding="UTF-8" standalone="yes"?><Relationships xmlns="http://schemas.openxmlformats.org/package/2006/relationships"></Relationships>
</file>

<file path=xl/charts/_rels/chart59.xml.rels><?xml version="1.0" encoding="UTF-8" standalone="yes"?><Relationships xmlns="http://schemas.openxmlformats.org/package/2006/relationships"></Relationships>
</file>

<file path=xl/charts/_rels/chart60.xml.rels><?xml version="1.0" encoding="UTF-8" standalone="yes"?><Relationships xmlns="http://schemas.openxmlformats.org/package/2006/relationships"></Relationships>
</file>

<file path=xl/charts/_rels/chart61.xml.rels><?xml version="1.0" encoding="UTF-8" standalone="yes"?><Relationships xmlns="http://schemas.openxmlformats.org/package/2006/relationships"></Relationships>
</file>

<file path=xl/charts/_rels/chart62.xml.rels><?xml version="1.0" encoding="UTF-8" standalone="yes"?><Relationships xmlns="http://schemas.openxmlformats.org/package/2006/relationships"></Relationships>
</file>

<file path=xl/charts/_rels/chart63.xml.rels><?xml version="1.0" encoding="UTF-8" standalone="yes"?><Relationships xmlns="http://schemas.openxmlformats.org/package/2006/relationships"></Relationships>
</file>

<file path=xl/charts/_rels/chart64.xml.rels><?xml version="1.0" encoding="UTF-8" standalone="yes"?><Relationships xmlns="http://schemas.openxmlformats.org/package/2006/relationships"></Relationships>
</file>

<file path=xl/charts/_rels/chart65.xml.rels><?xml version="1.0" encoding="UTF-8" standalone="yes"?><Relationships xmlns="http://schemas.openxmlformats.org/package/2006/relationships"></Relationships>
</file>

<file path=xl/charts/_rels/chart66.xml.rels><?xml version="1.0" encoding="UTF-8" standalone="yes"?><Relationships xmlns="http://schemas.openxmlformats.org/package/2006/relationships"></Relationships>
</file>

<file path=xl/charts/_rels/chart67.xml.rels><?xml version="1.0" encoding="UTF-8" standalone="yes"?><Relationships xmlns="http://schemas.openxmlformats.org/package/2006/relationships"></Relationships>
</file>

<file path=xl/charts/_rels/chart68.xml.rels><?xml version="1.0" encoding="UTF-8" standalone="yes"?><Relationships xmlns="http://schemas.openxmlformats.org/package/2006/relationships"></Relationships>
</file>

<file path=xl/charts/_rels/chart69.xml.rels><?xml version="1.0" encoding="UTF-8" standalone="yes"?><Relationships xmlns="http://schemas.openxmlformats.org/package/2006/relationships"></Relationships>
</file>

<file path=xl/charts/_rels/chart70.xml.rels><?xml version="1.0" encoding="UTF-8" standalone="yes"?><Relationships xmlns="http://schemas.openxmlformats.org/package/2006/relationships"></Relationships>
</file>

<file path=xl/charts/_rels/chart71.xml.rels><?xml version="1.0" encoding="UTF-8" standalone="yes"?><Relationships xmlns="http://schemas.openxmlformats.org/package/2006/relationships"></Relationships>
</file>

<file path=xl/charts/_rels/chart72.xml.rels><?xml version="1.0" encoding="UTF-8" standalone="yes"?><Relationships xmlns="http://schemas.openxmlformats.org/package/2006/relationships"></Relationships>
</file>

<file path=xl/charts/_rels/chart73.xml.rels><?xml version="1.0" encoding="UTF-8" standalone="yes"?><Relationships xmlns="http://schemas.openxmlformats.org/package/2006/relationships"></Relationships>
</file>

<file path=xl/charts/_rels/chart74.xml.rels><?xml version="1.0" encoding="UTF-8" standalone="yes"?><Relationships xmlns="http://schemas.openxmlformats.org/package/2006/relationships"></Relationships>
</file>

<file path=xl/charts/_rels/chart75.xml.rels><?xml version="1.0" encoding="UTF-8" standalone="yes"?><Relationships xmlns="http://schemas.openxmlformats.org/package/2006/relationships"></Relationships>
</file>

<file path=xl/charts/_rels/chart76.xml.rels><?xml version="1.0" encoding="UTF-8" standalone="yes"?><Relationships xmlns="http://schemas.openxmlformats.org/package/2006/relationships"></Relationships>
</file>

<file path=xl/charts/_rels/chart77.xml.rels><?xml version="1.0" encoding="UTF-8" standalone="yes"?><Relationships xmlns="http://schemas.openxmlformats.org/package/2006/relationships"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Time Series Forecasts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DM!$A$3</c:f>
              <c:strCache>
                <c:ptCount val="1"/>
                <c:pt idx="0">
                  <c:v>data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DM!$A$4:$A$23</c:f>
              <c:numCache>
                <c:formatCode>General</c:formatCode>
                <c:ptCount val="20"/>
                <c:pt idx="0">
                  <c:v>1.22883782202459</c:v>
                </c:pt>
                <c:pt idx="1">
                  <c:v>2.66840055249395</c:v>
                </c:pt>
                <c:pt idx="2">
                  <c:v>3.41772806382077</c:v>
                </c:pt>
                <c:pt idx="3">
                  <c:v>2.23919715681374</c:v>
                </c:pt>
                <c:pt idx="4">
                  <c:v>2.12255991460007</c:v>
                </c:pt>
                <c:pt idx="5">
                  <c:v>0.463798715409495</c:v>
                </c:pt>
                <c:pt idx="6">
                  <c:v>-0.550805454184764</c:v>
                </c:pt>
                <c:pt idx="7">
                  <c:v>1.18294624710813</c:v>
                </c:pt>
                <c:pt idx="8">
                  <c:v>-2.41329871503466</c:v>
                </c:pt>
                <c:pt idx="9">
                  <c:v>0.979470609445432</c:v>
                </c:pt>
                <c:pt idx="10">
                  <c:v>0.550882332249371</c:v>
                </c:pt>
                <c:pt idx="11">
                  <c:v>1.22792141758154</c:v>
                </c:pt>
                <c:pt idx="12">
                  <c:v>-0.92350668389273</c:v>
                </c:pt>
                <c:pt idx="13">
                  <c:v>-0.090278955688555</c:v>
                </c:pt>
                <c:pt idx="14">
                  <c:v>1.68379334636318</c:v>
                </c:pt>
                <c:pt idx="15">
                  <c:v>-0.610771448186919</c:v>
                </c:pt>
                <c:pt idx="16">
                  <c:v>1.28104466290076</c:v>
                </c:pt>
                <c:pt idx="17">
                  <c:v>-0.922245828706594</c:v>
                </c:pt>
                <c:pt idx="18">
                  <c:v>-0.578110038420582</c:v>
                </c:pt>
                <c:pt idx="19">
                  <c:v>0.768697284034683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DM!$B$3</c:f>
              <c:strCache>
                <c:ptCount val="1"/>
                <c:pt idx="0">
                  <c:v>forecast1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  <a:round/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DM!$B$4:$B$23</c:f>
              <c:numCache>
                <c:formatCode>General</c:formatCode>
                <c:ptCount val="20"/>
                <c:pt idx="0">
                  <c:v>0.902836991286537</c:v>
                </c:pt>
                <c:pt idx="1">
                  <c:v>2.44926778751723</c:v>
                </c:pt>
                <c:pt idx="2">
                  <c:v>3.20755808146358</c:v>
                </c:pt>
                <c:pt idx="3">
                  <c:v>2.43832214611311</c:v>
                </c:pt>
                <c:pt idx="4">
                  <c:v>2.77510859104282</c:v>
                </c:pt>
                <c:pt idx="5">
                  <c:v>0.59316171174486</c:v>
                </c:pt>
                <c:pt idx="6">
                  <c:v>0.10851859560777</c:v>
                </c:pt>
                <c:pt idx="7">
                  <c:v>0.878517725274935</c:v>
                </c:pt>
                <c:pt idx="8">
                  <c:v>-1.16531316944428</c:v>
                </c:pt>
                <c:pt idx="9">
                  <c:v>0.593719307370432</c:v>
                </c:pt>
                <c:pt idx="10">
                  <c:v>-0.003627286160367</c:v>
                </c:pt>
                <c:pt idx="11">
                  <c:v>0.994315257779952</c:v>
                </c:pt>
                <c:pt idx="12">
                  <c:v>0.519424786425448</c:v>
                </c:pt>
                <c:pt idx="13">
                  <c:v>0.285099021979394</c:v>
                </c:pt>
                <c:pt idx="14">
                  <c:v>0.571378592666751</c:v>
                </c:pt>
                <c:pt idx="15">
                  <c:v>0.22333590226063</c:v>
                </c:pt>
                <c:pt idx="16">
                  <c:v>0.327580980829234</c:v>
                </c:pt>
                <c:pt idx="17">
                  <c:v>0.084688853692339</c:v>
                </c:pt>
                <c:pt idx="18">
                  <c:v>-0.083990871330917</c:v>
                </c:pt>
                <c:pt idx="19">
                  <c:v>-0.073103734742139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DM!$C$3</c:f>
              <c:strCache>
                <c:ptCount val="1"/>
                <c:pt idx="0">
                  <c:v>forecast2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A5A5A5"/>
              </a:solidFill>
            </a:ln>
          </c:spPr>
          <c:marker>
            <c:symbol val="none"/>
          </c:marker>
          <c:val>
            <c:numRef>
              <c:f>DM!$C$4:$C$23</c:f>
              <c:numCache>
                <c:formatCode>General</c:formatCode>
                <c:ptCount val="20"/>
                <c:pt idx="0">
                  <c:v>0.89454343974206</c:v>
                </c:pt>
                <c:pt idx="1">
                  <c:v>2.3213520553881</c:v>
                </c:pt>
                <c:pt idx="2">
                  <c:v>2.52081574269975</c:v>
                </c:pt>
                <c:pt idx="3">
                  <c:v>1.90807495454175</c:v>
                </c:pt>
                <c:pt idx="4">
                  <c:v>0.95078208307609</c:v>
                </c:pt>
                <c:pt idx="5">
                  <c:v>-0.610664829887639</c:v>
                </c:pt>
                <c:pt idx="6">
                  <c:v>-1.11545033641891</c:v>
                </c:pt>
                <c:pt idx="7">
                  <c:v>1.11163086747493</c:v>
                </c:pt>
                <c:pt idx="8">
                  <c:v>-2.77764821603257</c:v>
                </c:pt>
                <c:pt idx="9">
                  <c:v>1.51727999036369</c:v>
                </c:pt>
                <c:pt idx="10">
                  <c:v>0.489767912746369</c:v>
                </c:pt>
                <c:pt idx="11">
                  <c:v>1.04700204737469</c:v>
                </c:pt>
                <c:pt idx="12">
                  <c:v>-1.34479179223329</c:v>
                </c:pt>
                <c:pt idx="13">
                  <c:v>0.001923542642781</c:v>
                </c:pt>
                <c:pt idx="14">
                  <c:v>1.7465680978124</c:v>
                </c:pt>
                <c:pt idx="15">
                  <c:v>-1.06316776057538</c:v>
                </c:pt>
                <c:pt idx="16">
                  <c:v>1.27198373726092</c:v>
                </c:pt>
                <c:pt idx="17">
                  <c:v>-1.28933445210318</c:v>
                </c:pt>
                <c:pt idx="18">
                  <c:v>-0.464421299088129</c:v>
                </c:pt>
                <c:pt idx="19">
                  <c:v>0.978531378983003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-3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Simple Moving Average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Moving!$B$3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Moving!$B$4:$B$18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Moving!$C$3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>Moving!$C$4:$C$18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5.66666666666667</c:v>
                </c:pt>
                <c:pt idx="4">
                  <c:v>11.3333333333333</c:v>
                </c:pt>
                <c:pt idx="5">
                  <c:v>13.6666666666667</c:v>
                </c:pt>
                <c:pt idx="6">
                  <c:v>16.3333333333333</c:v>
                </c:pt>
                <c:pt idx="7">
                  <c:v>17</c:v>
                </c:pt>
                <c:pt idx="8">
                  <c:v>20.6666666666667</c:v>
                </c:pt>
                <c:pt idx="9">
                  <c:v>32</c:v>
                </c:pt>
                <c:pt idx="10">
                  <c:v>38.3333333333333</c:v>
                </c:pt>
                <c:pt idx="11">
                  <c:v>49.3333333333333</c:v>
                </c:pt>
                <c:pt idx="12">
                  <c:v>57.3333333333333</c:v>
                </c:pt>
                <c:pt idx="13">
                  <c:v>63.6666666666667</c:v>
                </c:pt>
                <c:pt idx="14">
                  <c:v>70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Moving Average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Moving!$B$4:$B$18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val>
            <c:numRef>
              <c:f>Moving!$Q$4:$Q$18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5.66666666666667</c:v>
                </c:pt>
                <c:pt idx="3">
                  <c:v>11.3333333333333</c:v>
                </c:pt>
                <c:pt idx="4">
                  <c:v>13.6666666666667</c:v>
                </c:pt>
                <c:pt idx="5">
                  <c:v>16.3333333333333</c:v>
                </c:pt>
                <c:pt idx="6">
                  <c:v>17</c:v>
                </c:pt>
                <c:pt idx="7">
                  <c:v>20.6666666666667</c:v>
                </c:pt>
                <c:pt idx="8">
                  <c:v>32</c:v>
                </c:pt>
                <c:pt idx="9">
                  <c:v>38.3333333333333</c:v>
                </c:pt>
                <c:pt idx="10">
                  <c:v>49.3333333333333</c:v>
                </c:pt>
                <c:pt idx="11">
                  <c:v>57.3333333333333</c:v>
                </c:pt>
                <c:pt idx="12">
                  <c:v>63.6666666666667</c:v>
                </c:pt>
                <c:pt idx="13">
                  <c:v>70</c:v>
                </c:pt>
                <c:pt idx="14">
                  <c:v>74.3333333333333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Data Point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Moving Average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'Moving 1'!$B$4:$B$18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val>
            <c:numRef>
              <c:f xml:space="preserve">'Moving 1'!$D$4:$D$18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5.66666666666667</c:v>
                </c:pt>
                <c:pt idx="3">
                  <c:v>11.3333333333333</c:v>
                </c:pt>
                <c:pt idx="4">
                  <c:v>13.6666666666667</c:v>
                </c:pt>
                <c:pt idx="5">
                  <c:v>16.3333333333333</c:v>
                </c:pt>
                <c:pt idx="6">
                  <c:v>17</c:v>
                </c:pt>
                <c:pt idx="7">
                  <c:v>20.6666666666667</c:v>
                </c:pt>
                <c:pt idx="8">
                  <c:v>32</c:v>
                </c:pt>
                <c:pt idx="9">
                  <c:v>38.3333333333333</c:v>
                </c:pt>
                <c:pt idx="10">
                  <c:v>49.3333333333333</c:v>
                </c:pt>
                <c:pt idx="11">
                  <c:v>57.3333333333333</c:v>
                </c:pt>
                <c:pt idx="12">
                  <c:v>63.6666666666667</c:v>
                </c:pt>
                <c:pt idx="13">
                  <c:v>70</c:v>
                </c:pt>
                <c:pt idx="14">
                  <c:v>74.3333333333333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Data Point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'Moving 1a'!$D$6:$D$21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&gt;</c:v>
                </c:pt>
              </c:strCache>
            </c:strRef>
          </c:cat>
          <c:val>
            <c:numRef>
              <c:f xml:space="preserve">'Moving 1a'!$E$6:$E$20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'Moving 1a'!$F$6:$F$21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5.66666666666667</c:v>
                </c:pt>
                <c:pt idx="4">
                  <c:v>11.3333333333333</c:v>
                </c:pt>
                <c:pt idx="5">
                  <c:v>13.6666666666667</c:v>
                </c:pt>
                <c:pt idx="6">
                  <c:v>16.3333333333333</c:v>
                </c:pt>
                <c:pt idx="7">
                  <c:v>17</c:v>
                </c:pt>
                <c:pt idx="8">
                  <c:v>20.6666666666667</c:v>
                </c:pt>
                <c:pt idx="9">
                  <c:v>32</c:v>
                </c:pt>
                <c:pt idx="10">
                  <c:v>38.3333333333333</c:v>
                </c:pt>
                <c:pt idx="11">
                  <c:v>49.3333333333333</c:v>
                </c:pt>
                <c:pt idx="12">
                  <c:v>57.3333333333333</c:v>
                </c:pt>
                <c:pt idx="13">
                  <c:v>63.6666666666667</c:v>
                </c:pt>
                <c:pt idx="14">
                  <c:v>70</c:v>
                </c:pt>
                <c:pt idx="15">
                  <c:v>74.3333333333333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Weighted Moving Average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Weighted!$B$3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Weighted!$B$4:$B$18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Weighted!$C$3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>Weighted!$C$4:$C$18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7.2</c:v>
                </c:pt>
                <c:pt idx="4">
                  <c:v>15.2</c:v>
                </c:pt>
                <c:pt idx="5">
                  <c:v>14.1</c:v>
                </c:pt>
                <c:pt idx="6">
                  <c:v>15.8</c:v>
                </c:pt>
                <c:pt idx="7">
                  <c:v>19.5</c:v>
                </c:pt>
                <c:pt idx="8">
                  <c:v>22.1</c:v>
                </c:pt>
                <c:pt idx="9">
                  <c:v>39.7</c:v>
                </c:pt>
                <c:pt idx="10">
                  <c:v>42.2</c:v>
                </c:pt>
                <c:pt idx="11">
                  <c:v>51</c:v>
                </c:pt>
                <c:pt idx="12">
                  <c:v>65.9</c:v>
                </c:pt>
                <c:pt idx="13">
                  <c:v>64.1</c:v>
                </c:pt>
                <c:pt idx="14">
                  <c:v>70.5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>Weighted!$Q$6:$Q$21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&gt;</c:v>
                </c:pt>
              </c:strCache>
            </c:strRef>
          </c:cat>
          <c:val>
            <c:numRef>
              <c:f>Weighted!$R$6:$R$20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>Weighted!$S$6:$S$21</c:f>
              <c:numCache>
                <c:formatCode>General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7.2</c:v>
                </c:pt>
                <c:pt idx="4">
                  <c:v>15.2</c:v>
                </c:pt>
                <c:pt idx="5">
                  <c:v>14.1</c:v>
                </c:pt>
                <c:pt idx="6">
                  <c:v>15.8</c:v>
                </c:pt>
                <c:pt idx="7">
                  <c:v>19.5</c:v>
                </c:pt>
                <c:pt idx="8">
                  <c:v>22.1</c:v>
                </c:pt>
                <c:pt idx="9">
                  <c:v>39.7</c:v>
                </c:pt>
                <c:pt idx="10">
                  <c:v>42.2</c:v>
                </c:pt>
                <c:pt idx="11">
                  <c:v>51</c:v>
                </c:pt>
                <c:pt idx="12">
                  <c:v>65.9</c:v>
                </c:pt>
                <c:pt idx="13">
                  <c:v>64.1</c:v>
                </c:pt>
                <c:pt idx="14">
                  <c:v>70.5</c:v>
                </c:pt>
                <c:pt idx="15">
                  <c:v>81.3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Weighted Moving Average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'Weighted 2'!$B$3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'Weighted 2'!$B$4:$B$18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'Weighted 2'!$C$3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'Weighted 2'!$C$4:$C$18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8.1049723756906</c:v>
                </c:pt>
                <c:pt idx="4">
                  <c:v>17.5386740331492</c:v>
                </c:pt>
                <c:pt idx="5">
                  <c:v>13.7900552486188</c:v>
                </c:pt>
                <c:pt idx="6">
                  <c:v>15.8812154696133</c:v>
                </c:pt>
                <c:pt idx="7">
                  <c:v>20.8812154696133</c:v>
                </c:pt>
                <c:pt idx="8">
                  <c:v>22.7762430939227</c:v>
                </c:pt>
                <c:pt idx="9">
                  <c:v>44.7348066298342</c:v>
                </c:pt>
                <c:pt idx="10">
                  <c:v>43.2375690607735</c:v>
                </c:pt>
                <c:pt idx="11">
                  <c:v>52.6436464088398</c:v>
                </c:pt>
                <c:pt idx="12">
                  <c:v>70.7486187845304</c:v>
                </c:pt>
                <c:pt idx="13">
                  <c:v>63.3563535911603</c:v>
                </c:pt>
                <c:pt idx="14">
                  <c:v>71.6436464088398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Single Exponential Smoothing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Exp!$B$3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Exp!$A$4:$A$19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Exp!$B$4:$B$18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Exp!$C$3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cat>
            <c:numRef>
              <c:f>Exp!$A$4:$A$19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Exp!$C$4:$C$19</c:f>
              <c:numCache>
                <c:formatCode>General</c:formatCode>
                <c:ptCount val="16"/>
                <c:pt idx="0">
                  <c:v>3</c:v>
                </c:pt>
                <c:pt idx="1">
                  <c:v>3</c:v>
                </c:pt>
                <c:pt idx="2">
                  <c:v>3.8</c:v>
                </c:pt>
                <c:pt idx="3">
                  <c:v>5.88</c:v>
                </c:pt>
                <c:pt idx="4">
                  <c:v>11.528</c:v>
                </c:pt>
                <c:pt idx="5">
                  <c:v>11.7168</c:v>
                </c:pt>
                <c:pt idx="6">
                  <c:v>13.83008</c:v>
                </c:pt>
                <c:pt idx="7">
                  <c:v>17.098048</c:v>
                </c:pt>
                <c:pt idx="8">
                  <c:v>19.4588288</c:v>
                </c:pt>
                <c:pt idx="9">
                  <c:v>32.07529728</c:v>
                </c:pt>
                <c:pt idx="10">
                  <c:v>35.645178368</c:v>
                </c:pt>
                <c:pt idx="11">
                  <c:v>43.7871070208</c:v>
                </c:pt>
                <c:pt idx="12">
                  <c:v>56.27226421248</c:v>
                </c:pt>
                <c:pt idx="13">
                  <c:v>57.763358527488</c:v>
                </c:pt>
                <c:pt idx="14">
                  <c:v>64.6580151164928</c:v>
                </c:pt>
                <c:pt idx="15">
                  <c:v>73.9948090698957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Exponential Smoothing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'Exp 1'!$B$4:$B$18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val>
            <c:numRef>
              <c:f xml:space="preserve">'Exp 1'!$N$4:$N$18</c:f>
              <c:numCache>
                <c:formatCode>General</c:formatCode>
                <c:ptCount val="15"/>
                <c:pt idx="0">
                  <c:v>0</c:v>
                </c:pt>
                <c:pt idx="1">
                  <c:v>3</c:v>
                </c:pt>
                <c:pt idx="2">
                  <c:v>4.4</c:v>
                </c:pt>
                <c:pt idx="3">
                  <c:v>7.62</c:v>
                </c:pt>
                <c:pt idx="4">
                  <c:v>16.286</c:v>
                </c:pt>
                <c:pt idx="5">
                  <c:v>13.2858</c:v>
                </c:pt>
                <c:pt idx="6">
                  <c:v>15.88574</c:v>
                </c:pt>
                <c:pt idx="7">
                  <c:v>20.165722</c:v>
                </c:pt>
                <c:pt idx="8">
                  <c:v>22.1497166</c:v>
                </c:pt>
                <c:pt idx="9">
                  <c:v>42.34491498</c:v>
                </c:pt>
                <c:pt idx="10">
                  <c:v>41.403474494</c:v>
                </c:pt>
                <c:pt idx="11">
                  <c:v>51.6210423482</c:v>
                </c:pt>
                <c:pt idx="12">
                  <c:v>67.98631270446</c:v>
                </c:pt>
                <c:pt idx="13">
                  <c:v>62.395893811338</c:v>
                </c:pt>
                <c:pt idx="14">
                  <c:v>71.2187681434014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Data Point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Exponential Smoothing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'Exp 1'!$B$4:$B$18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val>
            <c:numRef>
              <c:f xml:space="preserve">'Exp 1'!$D$4:$D$18</c:f>
              <c:numCache>
                <c:formatCode>General</c:formatCode>
                <c:ptCount val="15"/>
                <c:pt idx="0">
                  <c:v>0</c:v>
                </c:pt>
                <c:pt idx="1">
                  <c:v>3</c:v>
                </c:pt>
                <c:pt idx="2">
                  <c:v>3.8</c:v>
                </c:pt>
                <c:pt idx="3">
                  <c:v>5.88</c:v>
                </c:pt>
                <c:pt idx="4">
                  <c:v>11.528</c:v>
                </c:pt>
                <c:pt idx="5">
                  <c:v>11.7168</c:v>
                </c:pt>
                <c:pt idx="6">
                  <c:v>13.83008</c:v>
                </c:pt>
                <c:pt idx="7">
                  <c:v>17.098048</c:v>
                </c:pt>
                <c:pt idx="8">
                  <c:v>19.4588288</c:v>
                </c:pt>
                <c:pt idx="9">
                  <c:v>32.07529728</c:v>
                </c:pt>
                <c:pt idx="10">
                  <c:v>35.645178368</c:v>
                </c:pt>
                <c:pt idx="11">
                  <c:v>43.7871070208</c:v>
                </c:pt>
                <c:pt idx="12">
                  <c:v>56.27226421248</c:v>
                </c:pt>
                <c:pt idx="13">
                  <c:v>57.763358527488</c:v>
                </c:pt>
                <c:pt idx="14">
                  <c:v>64.6580151164928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Data Point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'Exp 1a'!$D$8:$D$23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&gt;</c:v>
                </c:pt>
              </c:strCache>
            </c:strRef>
          </c:cat>
          <c:val>
            <c:numRef>
              <c:f xml:space="preserve">'Exp 1a'!$E$8:$E$22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'Exp 1a'!$F$8:$F$23</c:f>
              <c:numCache>
                <c:formatCode>General</c:formatCode>
                <c:ptCount val="16"/>
                <c:pt idx="0">
                  <c:v>3</c:v>
                </c:pt>
                <c:pt idx="1">
                  <c:v>3</c:v>
                </c:pt>
                <c:pt idx="2">
                  <c:v>3.8</c:v>
                </c:pt>
                <c:pt idx="3">
                  <c:v>5.88</c:v>
                </c:pt>
                <c:pt idx="4">
                  <c:v>11.528</c:v>
                </c:pt>
                <c:pt idx="5">
                  <c:v>11.7168</c:v>
                </c:pt>
                <c:pt idx="6">
                  <c:v>13.83008</c:v>
                </c:pt>
                <c:pt idx="7">
                  <c:v>17.098048</c:v>
                </c:pt>
                <c:pt idx="8">
                  <c:v>19.4588288</c:v>
                </c:pt>
                <c:pt idx="9">
                  <c:v>32.07529728</c:v>
                </c:pt>
                <c:pt idx="10">
                  <c:v>35.645178368</c:v>
                </c:pt>
                <c:pt idx="11">
                  <c:v>43.7871070208</c:v>
                </c:pt>
                <c:pt idx="12">
                  <c:v>56.27226421248</c:v>
                </c:pt>
                <c:pt idx="13">
                  <c:v>57.763358527488</c:v>
                </c:pt>
                <c:pt idx="14">
                  <c:v>64.6580151164928</c:v>
                </c:pt>
                <c:pt idx="15">
                  <c:v>73.9948090698957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Single Exponential Smoothing (MAE)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'Exp 2'!$H$3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'Exp 2'!$H$4:$H$18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'Exp 2'!$I$3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'Exp 2'!$I$4:$I$18</c:f>
              <c:numCache>
                <c:formatCode>General</c:formatCode>
                <c:ptCount val="15"/>
                <c:pt idx="0">
                  <c:v>3</c:v>
                </c:pt>
                <c:pt idx="1">
                  <c:v>3</c:v>
                </c:pt>
                <c:pt idx="2">
                  <c:v>4.31241064713368</c:v>
                </c:pt>
                <c:pt idx="3">
                  <c:v>7.38843173517978</c:v>
                </c:pt>
                <c:pt idx="4">
                  <c:v>15.6642099690814</c:v>
                </c:pt>
                <c:pt idx="5">
                  <c:v>13.2597358807035</c:v>
                </c:pt>
                <c:pt idx="6">
                  <c:v>15.7141171073319</c:v>
                </c:pt>
                <c:pt idx="7">
                  <c:v>19.8389469248184</c:v>
                </c:pt>
                <c:pt idx="8">
                  <c:v>21.9132467808299</c:v>
                </c:pt>
                <c:pt idx="9">
                  <c:v>41.0001290885242</c:v>
                </c:pt>
                <c:pt idx="10">
                  <c:v>41.0000443799474</c:v>
                </c:pt>
                <c:pt idx="11">
                  <c:v>50.8430951110922</c:v>
                </c:pt>
                <c:pt idx="12">
                  <c:v>66.6949847000913</c:v>
                </c:pt>
                <c:pt idx="13">
                  <c:v>62.3017000986929</c:v>
                </c:pt>
                <c:pt idx="14">
                  <c:v>70.6343920941789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Single Exponential Smoothing (MSE)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'Exp 2'!$W$3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'Exp 2'!$W$4:$W$18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'Exp 2'!$X$3</c:f>
              <c:strCache>
                <c:ptCount val="1"/>
                <c:pt idx="0">
                  <c:v>yhat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'Exp 2'!$X$4:$X$18</c:f>
              <c:numCache>
                <c:formatCode>General</c:formatCode>
                <c:ptCount val="15"/>
                <c:pt idx="0">
                  <c:v>3</c:v>
                </c:pt>
                <c:pt idx="1">
                  <c:v>3</c:v>
                </c:pt>
                <c:pt idx="2">
                  <c:v>4.68781417822711</c:v>
                </c:pt>
                <c:pt idx="3">
                  <c:v>8.32689836279622</c:v>
                </c:pt>
                <c:pt idx="4">
                  <c:v>18.1779115863756</c:v>
                </c:pt>
                <c:pt idx="5">
                  <c:v>12.9643282027164</c:v>
                </c:pt>
                <c:pt idx="6">
                  <c:v>16.3700602417797</c:v>
                </c:pt>
                <c:pt idx="7">
                  <c:v>21.1212063150241</c:v>
                </c:pt>
                <c:pt idx="8">
                  <c:v>22.706733624757</c:v>
                </c:pt>
                <c:pt idx="9">
                  <c:v>46.5836216930028</c:v>
                </c:pt>
                <c:pt idx="10">
                  <c:v>41.8715637633495</c:v>
                </c:pt>
                <c:pt idx="11">
                  <c:v>53.7946512615477</c:v>
                </c:pt>
                <c:pt idx="12">
                  <c:v>71.6899953890528</c:v>
                </c:pt>
                <c:pt idx="13">
                  <c:v>61.8247254085264</c:v>
                </c:pt>
                <c:pt idx="14">
                  <c:v>72.9434330372887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'Exp 3'!$D$8:$D$23</c:f>
              <c:strCach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&gt;</c:v>
                </c:pt>
              </c:strCache>
            </c:strRef>
          </c:cat>
          <c:val>
            <c:numRef>
              <c:f xml:space="preserve">'Exp 3'!$E$8:$E$22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'Exp 3'!$F$8:$F$23</c:f>
              <c:numCache>
                <c:formatCode>General</c:formatCode>
                <c:ptCount val="16"/>
                <c:pt idx="0">
                  <c:v>3</c:v>
                </c:pt>
                <c:pt idx="1">
                  <c:v>3</c:v>
                </c:pt>
                <c:pt idx="2">
                  <c:v>4.31241358980349</c:v>
                </c:pt>
                <c:pt idx="3">
                  <c:v>7.38843964386352</c:v>
                </c:pt>
                <c:pt idx="4">
                  <c:v>15.6642312438738</c:v>
                </c:pt>
                <c:pt idx="5">
                  <c:v>13.2597378035525</c:v>
                </c:pt>
                <c:pt idx="6">
                  <c:v>15.7141232715755</c:v>
                </c:pt>
                <c:pt idx="7">
                  <c:v>19.8389582926824</c:v>
                </c:pt>
                <c:pt idx="8">
                  <c:v>21.913255339992</c:v>
                </c:pt>
                <c:pt idx="9">
                  <c:v>41.0001748274613</c:v>
                </c:pt>
                <c:pt idx="10">
                  <c:v>41.0000601044933</c:v>
                </c:pt>
                <c:pt idx="11">
                  <c:v>50.8431225870426</c:v>
                </c:pt>
                <c:pt idx="12">
                  <c:v>66.6950296890337</c:v>
                </c:pt>
                <c:pt idx="13">
                  <c:v>62.3017057150209</c:v>
                </c:pt>
                <c:pt idx="14">
                  <c:v>70.6344127084862</c:v>
                </c:pt>
                <c:pt idx="15">
                  <c:v>82.0298290866369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Holt's Method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Holt!$B$3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Holt!$B$4:$B$18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Holt!$E$3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Holt!$E$4:$E$18</c:f>
              <c:numCache>
                <c:formatCode>General</c:formatCode>
                <c:ptCount val="15"/>
                <c:pt idx="0">
                  <c:v>0</c:v>
                </c:pt>
                <c:pt idx="1">
                  <c:v>3</c:v>
                </c:pt>
                <c:pt idx="2">
                  <c:v>4.36</c:v>
                </c:pt>
                <c:pt idx="3">
                  <c:v>8.0752</c:v>
                </c:pt>
                <c:pt idx="4">
                  <c:v>18.043264</c:v>
                </c:pt>
                <c:pt idx="5">
                  <c:v>19.13198848</c:v>
                </c:pt>
                <c:pt idx="6">
                  <c:v>21.1882663936</c:v>
                </c:pt>
                <c:pt idx="7">
                  <c:v>24.649318551552</c:v>
                </c:pt>
                <c:pt idx="8">
                  <c:v>26.6641406518886</c:v>
                </c:pt>
                <c:pt idx="9">
                  <c:v>45.8870745295618</c:v>
                </c:pt>
                <c:pt idx="10">
                  <c:v>52.0524539878884</c:v>
                </c:pt>
                <c:pt idx="11">
                  <c:v>62.8569945462755</c:v>
                </c:pt>
                <c:pt idx="12">
                  <c:v>80.3397604083507</c:v>
                </c:pt>
                <c:pt idx="13">
                  <c:v>79.1342870112576</c:v>
                </c:pt>
                <c:pt idx="14">
                  <c:v>83.2534026098497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Holt's Method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Holt!$R$3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Holt!$R$4:$R$23</c:f>
              <c:numCache>
                <c:formatCode>General</c:formatCode>
                <c:ptCount val="20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Holt!$S$3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>Holt!$S$4:$S$23</c:f>
              <c:numCache>
                <c:formatCode>General</c:formatCode>
                <c:ptCount val="20"/>
                <c:pt idx="0">
                  <c:v>0</c:v>
                </c:pt>
                <c:pt idx="1">
                  <c:v>3</c:v>
                </c:pt>
                <c:pt idx="2">
                  <c:v>4.36</c:v>
                </c:pt>
                <c:pt idx="3">
                  <c:v>8.0752</c:v>
                </c:pt>
                <c:pt idx="4">
                  <c:v>18.043264</c:v>
                </c:pt>
                <c:pt idx="5">
                  <c:v>19.13198848</c:v>
                </c:pt>
                <c:pt idx="6">
                  <c:v>21.1882663936</c:v>
                </c:pt>
                <c:pt idx="7">
                  <c:v>24.649318551552</c:v>
                </c:pt>
                <c:pt idx="8">
                  <c:v>26.6641406518886</c:v>
                </c:pt>
                <c:pt idx="9">
                  <c:v>45.8870745295618</c:v>
                </c:pt>
                <c:pt idx="10">
                  <c:v>52.0524539878884</c:v>
                </c:pt>
                <c:pt idx="11">
                  <c:v>62.8569945462755</c:v>
                </c:pt>
                <c:pt idx="12">
                  <c:v>80.3397604083507</c:v>
                </c:pt>
                <c:pt idx="13">
                  <c:v>79.1342870112576</c:v>
                </c:pt>
                <c:pt idx="14">
                  <c:v>83.2534026098497</c:v>
                </c:pt>
                <c:pt idx="15">
                  <c:v>92.253919238247</c:v>
                </c:pt>
                <c:pt idx="16">
                  <c:v>99.3557969105841</c:v>
                </c:pt>
                <c:pt idx="17">
                  <c:v>106.457674582921</c:v>
                </c:pt>
                <c:pt idx="18">
                  <c:v>113.559552255259</c:v>
                </c:pt>
                <c:pt idx="19">
                  <c:v>120.661429927596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Holt's Method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'Holt 2'!$B$3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'Holt 2'!$B$4:$B$18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3"/>
          <c:order val="1"/>
          <c:tx>
            <c:strRef>
              <c:f xml:space="preserve">'Holt 2'!$E$3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FFC000"/>
              </a:solidFill>
            </a:ln>
          </c:spPr>
          <c:marker>
            <c:symbol val="none"/>
          </c:marker>
          <c:val>
            <c:numRef>
              <c:f xml:space="preserve">'Holt 2'!$E$4:$E$18</c:f>
              <c:numCache>
                <c:formatCode>General</c:formatCode>
                <c:ptCount val="15"/>
                <c:pt idx="0">
                  <c:v>0</c:v>
                </c:pt>
                <c:pt idx="1">
                  <c:v>3</c:v>
                </c:pt>
                <c:pt idx="2">
                  <c:v>3.86881579251815</c:v>
                </c:pt>
                <c:pt idx="3">
                  <c:v>6.42302388330397</c:v>
                </c:pt>
                <c:pt idx="4">
                  <c:v>13.480432870334</c:v>
                </c:pt>
                <c:pt idx="5">
                  <c:v>16.2042728762176</c:v>
                </c:pt>
                <c:pt idx="6">
                  <c:v>19.6761903221743</c:v>
                </c:pt>
                <c:pt idx="7">
                  <c:v>23.9412966278919</c:v>
                </c:pt>
                <c:pt idx="8">
                  <c:v>27.1658445285155</c:v>
                </c:pt>
                <c:pt idx="9">
                  <c:v>40.9999984926885</c:v>
                </c:pt>
                <c:pt idx="10">
                  <c:v>48.3556168633455</c:v>
                </c:pt>
                <c:pt idx="11">
                  <c:v>59.0320152208815</c:v>
                </c:pt>
                <c:pt idx="12">
                  <c:v>74.5671565218186</c:v>
                </c:pt>
                <c:pt idx="13">
                  <c:v>79.4338351861745</c:v>
                </c:pt>
                <c:pt idx="14">
                  <c:v>86.3340262706916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Forecast using Holt's Linear Trend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'Holt 2'!$R$3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'Holt 2'!$R$4:$R$23</c:f>
              <c:numCache>
                <c:formatCode>General</c:formatCode>
                <c:ptCount val="20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  <c:pt idx="15">
                  <c:v>88</c:v>
                </c:pt>
                <c:pt idx="16">
                  <c:v>88</c:v>
                </c:pt>
                <c:pt idx="17">
                  <c:v>88</c:v>
                </c:pt>
                <c:pt idx="18">
                  <c:v>88</c:v>
                </c:pt>
                <c:pt idx="19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'Holt 2'!$S$3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'Holt 2'!$S$4:$S$23</c:f>
              <c:numCache>
                <c:formatCode>General</c:formatCode>
                <c:ptCount val="20"/>
                <c:pt idx="0">
                  <c:v>0</c:v>
                </c:pt>
                <c:pt idx="1">
                  <c:v>3</c:v>
                </c:pt>
                <c:pt idx="2">
                  <c:v>3.86881579251815</c:v>
                </c:pt>
                <c:pt idx="3">
                  <c:v>6.42302388330397</c:v>
                </c:pt>
                <c:pt idx="4">
                  <c:v>13.480432870334</c:v>
                </c:pt>
                <c:pt idx="5">
                  <c:v>16.2042728762176</c:v>
                </c:pt>
                <c:pt idx="6">
                  <c:v>19.6761903221743</c:v>
                </c:pt>
                <c:pt idx="7">
                  <c:v>23.9412966278919</c:v>
                </c:pt>
                <c:pt idx="8">
                  <c:v>27.1658445285155</c:v>
                </c:pt>
                <c:pt idx="9">
                  <c:v>40.9999984926885</c:v>
                </c:pt>
                <c:pt idx="10">
                  <c:v>48.3556168633455</c:v>
                </c:pt>
                <c:pt idx="11">
                  <c:v>59.0320152208815</c:v>
                </c:pt>
                <c:pt idx="12">
                  <c:v>74.5671565218186</c:v>
                </c:pt>
                <c:pt idx="13">
                  <c:v>79.4338351861745</c:v>
                </c:pt>
                <c:pt idx="14">
                  <c:v>86.3340262706916</c:v>
                </c:pt>
                <c:pt idx="15">
                  <c:v>95.1631226927538</c:v>
                </c:pt>
                <c:pt idx="16">
                  <c:v>103.539378601673</c:v>
                </c:pt>
                <c:pt idx="17">
                  <c:v>111.915634510592</c:v>
                </c:pt>
                <c:pt idx="18">
                  <c:v>120.29189041951</c:v>
                </c:pt>
                <c:pt idx="19">
                  <c:v>128.668146328429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 3'!$D$4:$D$23</c:f>
              <c:strCach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&gt;</c:v>
                </c:pt>
                <c:pt idx="16">
                  <c:v>&gt;</c:v>
                </c:pt>
                <c:pt idx="17">
                  <c:v>&gt;</c:v>
                </c:pt>
                <c:pt idx="18">
                  <c:v>&gt;</c:v>
                </c:pt>
                <c:pt idx="19">
                  <c:v>&gt;</c:v>
                </c:pt>
              </c:strCache>
            </c:strRef>
          </c:cat>
          <c:val>
            <c:numRef>
              <c:f xml:space="preserve">'Holt 3'!$E$4:$E$18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 3'!$H$4:$H$23</c:f>
              <c:numCache>
                <c:formatCode>General</c:formatCode>
                <c:ptCount val="20"/>
                <c:pt idx="0">
                  <c:v>0</c:v>
                </c:pt>
                <c:pt idx="1">
                  <c:v>3</c:v>
                </c:pt>
                <c:pt idx="2">
                  <c:v>4.36</c:v>
                </c:pt>
                <c:pt idx="3">
                  <c:v>8.0752</c:v>
                </c:pt>
                <c:pt idx="4">
                  <c:v>18.043264</c:v>
                </c:pt>
                <c:pt idx="5">
                  <c:v>19.13198848</c:v>
                </c:pt>
                <c:pt idx="6">
                  <c:v>21.1882663936</c:v>
                </c:pt>
                <c:pt idx="7">
                  <c:v>24.649318551552</c:v>
                </c:pt>
                <c:pt idx="8">
                  <c:v>26.6641406518886</c:v>
                </c:pt>
                <c:pt idx="9">
                  <c:v>45.8870745295618</c:v>
                </c:pt>
                <c:pt idx="10">
                  <c:v>52.0524539878884</c:v>
                </c:pt>
                <c:pt idx="11">
                  <c:v>62.8569945462755</c:v>
                </c:pt>
                <c:pt idx="12">
                  <c:v>80.3397604083507</c:v>
                </c:pt>
                <c:pt idx="13">
                  <c:v>79.1342870112576</c:v>
                </c:pt>
                <c:pt idx="14">
                  <c:v>83.2534026098497</c:v>
                </c:pt>
                <c:pt idx="15">
                  <c:v>92.253919238247</c:v>
                </c:pt>
                <c:pt idx="16">
                  <c:v>99.3557969105841</c:v>
                </c:pt>
                <c:pt idx="17">
                  <c:v>106.457674582921</c:v>
                </c:pt>
                <c:pt idx="18">
                  <c:v>113.559552255259</c:v>
                </c:pt>
                <c:pt idx="19">
                  <c:v>120.661429927596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 5'!$D$6:$D$24</c:f>
              <c:strCache>
                <c:ptCount val="1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&gt;</c:v>
                </c:pt>
                <c:pt idx="16">
                  <c:v>&gt;</c:v>
                </c:pt>
                <c:pt idx="17">
                  <c:v>&gt;</c:v>
                </c:pt>
                <c:pt idx="18">
                  <c:v>&gt;</c:v>
                </c:pt>
              </c:strCache>
            </c:strRef>
          </c:cat>
          <c:val>
            <c:numRef>
              <c:f xml:space="preserve">'Holt 5'!$E$6:$E$20</c:f>
              <c:numCache>
                <c:formatCode>General</c:formatCode>
                <c:ptCount val="15"/>
                <c:pt idx="0">
                  <c:v>3</c:v>
                </c:pt>
                <c:pt idx="1">
                  <c:v>5</c:v>
                </c:pt>
                <c:pt idx="2">
                  <c:v>9</c:v>
                </c:pt>
                <c:pt idx="3">
                  <c:v>20</c:v>
                </c:pt>
                <c:pt idx="4">
                  <c:v>12</c:v>
                </c:pt>
                <c:pt idx="5">
                  <c:v>17</c:v>
                </c:pt>
                <c:pt idx="6">
                  <c:v>22</c:v>
                </c:pt>
                <c:pt idx="7">
                  <c:v>23</c:v>
                </c:pt>
                <c:pt idx="8">
                  <c:v>51</c:v>
                </c:pt>
                <c:pt idx="9">
                  <c:v>41</c:v>
                </c:pt>
                <c:pt idx="10">
                  <c:v>56</c:v>
                </c:pt>
                <c:pt idx="11">
                  <c:v>75</c:v>
                </c:pt>
                <c:pt idx="12">
                  <c:v>60</c:v>
                </c:pt>
                <c:pt idx="13">
                  <c:v>75</c:v>
                </c:pt>
                <c:pt idx="14">
                  <c:v>88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 5'!$H$6:$H$24</c:f>
              <c:numCache>
                <c:formatCode>General</c:formatCode>
                <c:ptCount val="19"/>
                <c:pt idx="0">
                  <c:v>0</c:v>
                </c:pt>
                <c:pt idx="1">
                  <c:v>3</c:v>
                </c:pt>
                <c:pt idx="2">
                  <c:v>3.80916137824987</c:v>
                </c:pt>
                <c:pt idx="3">
                  <c:v>6.28802503900042</c:v>
                </c:pt>
                <c:pt idx="4">
                  <c:v>13.197392517754</c:v>
                </c:pt>
                <c:pt idx="5">
                  <c:v>16.6714271584144</c:v>
                </c:pt>
                <c:pt idx="6">
                  <c:v>20.536081352046</c:v>
                </c:pt>
                <c:pt idx="7">
                  <c:v>24.9222981138791</c:v>
                </c:pt>
                <c:pt idx="8">
                  <c:v>28.2157469934429</c:v>
                </c:pt>
                <c:pt idx="9">
                  <c:v>41.1409535749493</c:v>
                </c:pt>
                <c:pt idx="10">
                  <c:v>49.1058389597207</c:v>
                </c:pt>
                <c:pt idx="11">
                  <c:v>59.8903027384731</c:v>
                </c:pt>
                <c:pt idx="12">
                  <c:v>75.3041976178089</c:v>
                </c:pt>
                <c:pt idx="13">
                  <c:v>81.2746213545721</c:v>
                </c:pt>
                <c:pt idx="14">
                  <c:v>88.0000003089993</c:v>
                </c:pt>
                <c:pt idx="15">
                  <c:v>96.0757114873743</c:v>
                </c:pt>
                <c:pt idx="16">
                  <c:v>104.151422732248</c:v>
                </c:pt>
                <c:pt idx="17">
                  <c:v>112.227133977121</c:v>
                </c:pt>
                <c:pt idx="18">
                  <c:v>120.302845221994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Holt-Winters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'Holt-Winter'!$C$3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70AD47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>'Holt-Winter'!$A$4:$A$19</c:f>
              <c:strCache>
                <c:ptCount val="16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</c:strCache>
            </c:strRef>
          </c:cat>
          <c:val>
            <c:numRef>
              <c:f>'Holt-Winter'!$C$4:$C$19</c:f>
              <c:numCache>
                <c:formatCode>General</c:formatCode>
                <c:ptCount val="16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'Holt-Winter'!$G$3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254278"/>
              </a:solidFill>
            </a:ln>
          </c:spPr>
          <c:marker>
            <c:symbol val="none"/>
          </c:marker>
          <c:cat>
            <c:strRef>
              <c:f>'Holt-Winter'!$A$4:$A$19</c:f>
              <c:strCache>
                <c:ptCount val="16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</c:strCache>
            </c:strRef>
          </c:cat>
          <c:val>
            <c:numRef>
              <c:f>'Holt-Winter'!$G$4:$G$19</c:f>
              <c:numCache>
                <c:formatCode>General</c:formatCode>
                <c:ptCount val="16"/>
                <c:pt idx="0">
                  <c:v>3.24573833011481e+261</c:v>
                </c:pt>
                <c:pt idx="1">
                  <c:v>3.24573833011481e+261</c:v>
                </c:pt>
                <c:pt idx="2">
                  <c:v>3.24573833011481e+261</c:v>
                </c:pt>
                <c:pt idx="3">
                  <c:v>3.24573833011481e+261</c:v>
                </c:pt>
                <c:pt idx="4">
                  <c:v>10</c:v>
                </c:pt>
                <c:pt idx="5">
                  <c:v>20.3</c:v>
                </c:pt>
                <c:pt idx="6">
                  <c:v>13.5285714285715</c:v>
                </c:pt>
                <c:pt idx="7">
                  <c:v>47.8906250000002</c:v>
                </c:pt>
                <c:pt idx="8">
                  <c:v>19.2291809752748</c:v>
                </c:pt>
                <c:pt idx="9">
                  <c:v>21.5048547583202</c:v>
                </c:pt>
                <c:pt idx="10">
                  <c:v>14.2471759981408</c:v>
                </c:pt>
                <c:pt idx="11">
                  <c:v>50.3130548213136</c:v>
                </c:pt>
                <c:pt idx="12">
                  <c:v>21.2497181857293</c:v>
                </c:pt>
                <c:pt idx="13">
                  <c:v>39.0297946309751</c:v>
                </c:pt>
                <c:pt idx="14">
                  <c:v>24.4864433940741</c:v>
                </c:pt>
                <c:pt idx="15">
                  <c:v>68.750087281601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Holt-Winters Forecast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'Holt-Winter 1'!$M$3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'Holt-Winter 1'!$K$4:$K$23</c:f>
              <c:strCache>
                <c:ptCount val="20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 xml:space="preserve">14 Q1</c:v>
                </c:pt>
                <c:pt idx="17">
                  <c:v xml:space="preserve">14 Q2</c:v>
                </c:pt>
                <c:pt idx="18">
                  <c:v xml:space="preserve">14 Q3</c:v>
                </c:pt>
                <c:pt idx="19">
                  <c:v xml:space="preserve">14 Q4</c:v>
                </c:pt>
              </c:strCache>
            </c:strRef>
          </c:cat>
          <c:val>
            <c:numRef>
              <c:f xml:space="preserve">'Holt-Winter 1'!$M$4:$M$23</c:f>
              <c:numCache>
                <c:formatCode>General</c:formatCode>
                <c:ptCount val="20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  <c:pt idx="16">
                  <c:v>65</c:v>
                </c:pt>
                <c:pt idx="17">
                  <c:v>65</c:v>
                </c:pt>
                <c:pt idx="18">
                  <c:v>65</c:v>
                </c:pt>
                <c:pt idx="19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'Holt-Winter 1'!$N$3</c:f>
              <c:strCache>
                <c:ptCount val="1"/>
                <c:pt idx="0">
                  <c:v>pred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cat>
            <c:strRef>
              <c:f xml:space="preserve">'Holt-Winter 1'!$K$4:$K$23</c:f>
              <c:strCache>
                <c:ptCount val="20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 xml:space="preserve">14 Q1</c:v>
                </c:pt>
                <c:pt idx="17">
                  <c:v xml:space="preserve">14 Q2</c:v>
                </c:pt>
                <c:pt idx="18">
                  <c:v xml:space="preserve">14 Q3</c:v>
                </c:pt>
                <c:pt idx="19">
                  <c:v xml:space="preserve">14 Q4</c:v>
                </c:pt>
              </c:strCache>
            </c:strRef>
          </c:cat>
          <c:val>
            <c:numRef>
              <c:f xml:space="preserve">'Holt-Winter 1'!$N$4:$N$23</c:f>
              <c:numCache>
                <c:formatCode>General</c:formatCode>
                <c:ptCount val="20"/>
                <c:pt idx="0">
                  <c:v>2.438983736216405e-152</c:v>
                </c:pt>
                <c:pt idx="1">
                  <c:v>2.438983736216405e-152</c:v>
                </c:pt>
                <c:pt idx="2">
                  <c:v>2.438983736216405e-152</c:v>
                </c:pt>
                <c:pt idx="3">
                  <c:v>2.438983736216405e-152</c:v>
                </c:pt>
                <c:pt idx="4">
                  <c:v>10</c:v>
                </c:pt>
                <c:pt idx="5">
                  <c:v>20.3</c:v>
                </c:pt>
                <c:pt idx="6">
                  <c:v>13.5285714285715</c:v>
                </c:pt>
                <c:pt idx="7">
                  <c:v>47.8906250000002</c:v>
                </c:pt>
                <c:pt idx="8">
                  <c:v>19.2291809752748</c:v>
                </c:pt>
                <c:pt idx="9">
                  <c:v>21.5048547583202</c:v>
                </c:pt>
                <c:pt idx="10">
                  <c:v>14.2471759981408</c:v>
                </c:pt>
                <c:pt idx="11">
                  <c:v>50.3130548213136</c:v>
                </c:pt>
                <c:pt idx="12">
                  <c:v>21.2497181857293</c:v>
                </c:pt>
                <c:pt idx="13">
                  <c:v>39.0297946309751</c:v>
                </c:pt>
                <c:pt idx="14">
                  <c:v>24.4864433940741</c:v>
                </c:pt>
                <c:pt idx="15">
                  <c:v>68.750087281601</c:v>
                </c:pt>
                <c:pt idx="16">
                  <c:v>36.8720902936732</c:v>
                </c:pt>
                <c:pt idx="17">
                  <c:v>53.4249247483264</c:v>
                </c:pt>
                <c:pt idx="18">
                  <c:v>32.0981199750446</c:v>
                </c:pt>
                <c:pt idx="19">
                  <c:v>84.9106233784137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'Holt-Winter 3'!$E$4:$E$25</c:f>
              <c:strCache>
                <c:ptCount val="22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>&gt;</c:v>
                </c:pt>
                <c:pt idx="17">
                  <c:v>&gt;</c:v>
                </c:pt>
                <c:pt idx="18">
                  <c:v>&gt;</c:v>
                </c:pt>
                <c:pt idx="19">
                  <c:v>&gt;</c:v>
                </c:pt>
                <c:pt idx="20">
                  <c:v>&gt;</c:v>
                </c:pt>
                <c:pt idx="21">
                  <c:v>&gt;</c:v>
                </c:pt>
              </c:strCache>
            </c:strRef>
          </c:cat>
          <c:val>
            <c:numRef>
              <c:f xml:space="preserve">'Holt-Winter 3'!$F$4:$F$19</c:f>
              <c:numCache>
                <c:formatCode>General</c:formatCode>
                <c:ptCount val="16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'Holt-Winter 3'!$J$4:$J$25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11.3157894736842</c:v>
                </c:pt>
                <c:pt idx="5">
                  <c:v>22.6026315789474</c:v>
                </c:pt>
                <c:pt idx="6">
                  <c:v>14.646992481203</c:v>
                </c:pt>
                <c:pt idx="7">
                  <c:v>50.2035361842107</c:v>
                </c:pt>
                <c:pt idx="8">
                  <c:v>19.2148047310745</c:v>
                </c:pt>
                <c:pt idx="9">
                  <c:v>21.4736142072795</c:v>
                </c:pt>
                <c:pt idx="10">
                  <c:v>14.32401491011</c:v>
                </c:pt>
                <c:pt idx="11">
                  <c:v>50.718859599878</c:v>
                </c:pt>
                <c:pt idx="12">
                  <c:v>20.9742606662313</c:v>
                </c:pt>
                <c:pt idx="13">
                  <c:v>38.8357771175575</c:v>
                </c:pt>
                <c:pt idx="14">
                  <c:v>24.5809088292093</c:v>
                </c:pt>
                <c:pt idx="15">
                  <c:v>69.34582667011</c:v>
                </c:pt>
                <c:pt idx="16">
                  <c:v>36.6441018957457</c:v>
                </c:pt>
                <c:pt idx="17">
                  <c:v>52.9533733674904</c:v>
                </c:pt>
                <c:pt idx="18">
                  <c:v>31.8733523035566</c:v>
                </c:pt>
                <c:pt idx="19">
                  <c:v>84.6762831310922</c:v>
                </c:pt>
                <c:pt idx="20">
                  <c:v>46.2746661263092</c:v>
                </c:pt>
                <c:pt idx="21">
                  <c:v>66.0122236228899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rot="0"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-5400000"/>
          <a:lstStyle/>
          <a:p>
            <a:pPr>
              <a:defRPr/>
            </a:pPr>
            <a:endParaRPr/>
          </a:p>
        </c:txPr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'Holt-Winters 4'!$E$4:$E$20</c:f>
              <c:strCache>
                <c:ptCount val="17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>&gt;</c:v>
                </c:pt>
              </c:strCache>
            </c:strRef>
          </c:cat>
          <c:val>
            <c:numRef>
              <c:f xml:space="preserve">'Holt-Winters 4'!$F$4:$F$19</c:f>
              <c:numCache>
                <c:formatCode>General</c:formatCode>
                <c:ptCount val="16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'Holt-Winters 4'!$J$4:$J$20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11.3157894736842</c:v>
                </c:pt>
                <c:pt idx="5">
                  <c:v>17.943701554039</c:v>
                </c:pt>
                <c:pt idx="6">
                  <c:v>11.4608619415076</c:v>
                </c:pt>
                <c:pt idx="7">
                  <c:v>39.7371374785316</c:v>
                </c:pt>
                <c:pt idx="8">
                  <c:v>18.3887961866247</c:v>
                </c:pt>
                <c:pt idx="9">
                  <c:v>27.0037383800509</c:v>
                </c:pt>
                <c:pt idx="10">
                  <c:v>16.5869897950935</c:v>
                </c:pt>
                <c:pt idx="11">
                  <c:v>52.8887487161179</c:v>
                </c:pt>
                <c:pt idx="12">
                  <c:v>23.5109790049213</c:v>
                </c:pt>
                <c:pt idx="13">
                  <c:v>35.1746842811166</c:v>
                </c:pt>
                <c:pt idx="14">
                  <c:v>21.6482188452406</c:v>
                </c:pt>
                <c:pt idx="15">
                  <c:v>64.9999996206387</c:v>
                </c:pt>
                <c:pt idx="16">
                  <c:v>30.8407693607574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'Holt-Winters 4a'!$E$4:$E$20</c:f>
              <c:strCache>
                <c:ptCount val="17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>&gt;</c:v>
                </c:pt>
              </c:strCache>
            </c:strRef>
          </c:cat>
          <c:val>
            <c:numRef>
              <c:f xml:space="preserve">'Holt-Winters 4a'!$F$4:$F$19</c:f>
              <c:numCache>
                <c:formatCode>General</c:formatCode>
                <c:ptCount val="16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'Holt-Winters 4a'!$J$4:$J$20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11.3157894736842</c:v>
                </c:pt>
                <c:pt idx="5">
                  <c:v>18.0630817919521</c:v>
                </c:pt>
                <c:pt idx="6">
                  <c:v>11.5610498955675</c:v>
                </c:pt>
                <c:pt idx="7">
                  <c:v>40.1415782422445</c:v>
                </c:pt>
                <c:pt idx="8">
                  <c:v>18.5051353239318</c:v>
                </c:pt>
                <c:pt idx="9">
                  <c:v>27.0035112972949</c:v>
                </c:pt>
                <c:pt idx="10">
                  <c:v>16.5660519099547</c:v>
                </c:pt>
                <c:pt idx="11">
                  <c:v>52.8187571530153</c:v>
                </c:pt>
                <c:pt idx="12">
                  <c:v>23.3863486135409</c:v>
                </c:pt>
                <c:pt idx="13">
                  <c:v>35.1137455486755</c:v>
                </c:pt>
                <c:pt idx="14">
                  <c:v>21.6537070537681</c:v>
                </c:pt>
                <c:pt idx="15">
                  <c:v>64.9999972921427</c:v>
                </c:pt>
                <c:pt idx="16">
                  <c:v>30.9087927637622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'Holt-Winters 5'!$E$4:$E$23</c:f>
              <c:strCache>
                <c:ptCount val="20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 xml:space="preserve">14 Q1</c:v>
                </c:pt>
                <c:pt idx="17">
                  <c:v xml:space="preserve">14 Q2</c:v>
                </c:pt>
                <c:pt idx="18">
                  <c:v xml:space="preserve">14 Q3</c:v>
                </c:pt>
                <c:pt idx="19">
                  <c:v xml:space="preserve">14 Q4</c:v>
                </c:pt>
              </c:strCache>
            </c:strRef>
          </c:cat>
          <c:val>
            <c:numRef>
              <c:f xml:space="preserve">'Holt-Winters 5'!$F$4:$F$19</c:f>
              <c:numCache>
                <c:formatCode>General</c:formatCode>
                <c:ptCount val="16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'Holt-Winters 5'!$J$4:$J$23</c:f>
              <c:numCache>
                <c:formatCode>General</c:formatCode>
                <c:ptCount val="2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11.875</c:v>
                </c:pt>
                <c:pt idx="5">
                  <c:v>17.8781407389451</c:v>
                </c:pt>
                <c:pt idx="6">
                  <c:v>13.9452542821241</c:v>
                </c:pt>
                <c:pt idx="7">
                  <c:v>32.9500468825088</c:v>
                </c:pt>
                <c:pt idx="8">
                  <c:v>20.9552643912735</c:v>
                </c:pt>
                <c:pt idx="9">
                  <c:v>26.8053362536243</c:v>
                </c:pt>
                <c:pt idx="10">
                  <c:v>21.8302302489649</c:v>
                </c:pt>
                <c:pt idx="11">
                  <c:v>41.1110560755201</c:v>
                </c:pt>
                <c:pt idx="12">
                  <c:v>27.0814009132736</c:v>
                </c:pt>
                <c:pt idx="13">
                  <c:v>34.3766334167003</c:v>
                </c:pt>
                <c:pt idx="14">
                  <c:v>28.595868296184</c:v>
                </c:pt>
                <c:pt idx="15">
                  <c:v>48.5268930351702</c:v>
                </c:pt>
                <c:pt idx="16">
                  <c:v>35.5333137966875</c:v>
                </c:pt>
                <c:pt idx="17">
                  <c:v>44.1710069877194</c:v>
                </c:pt>
                <c:pt idx="18">
                  <c:v>36.4074184047225</c:v>
                </c:pt>
                <c:pt idx="19">
                  <c:v>61.211749797143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Forecast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>actual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strRef>
              <c:f xml:space="preserve">'HoltWinters 6'!$E$6:$E$27</c:f>
              <c:strCache>
                <c:ptCount val="22"/>
                <c:pt idx="0">
                  <c:v xml:space="preserve">10 Q1</c:v>
                </c:pt>
                <c:pt idx="1">
                  <c:v xml:space="preserve">10 Q2</c:v>
                </c:pt>
                <c:pt idx="2">
                  <c:v xml:space="preserve">10 Q3</c:v>
                </c:pt>
                <c:pt idx="3">
                  <c:v xml:space="preserve">10 Q4</c:v>
                </c:pt>
                <c:pt idx="4">
                  <c:v xml:space="preserve">11 Q1</c:v>
                </c:pt>
                <c:pt idx="5">
                  <c:v xml:space="preserve">11 Q2</c:v>
                </c:pt>
                <c:pt idx="6">
                  <c:v xml:space="preserve">11 Q3</c:v>
                </c:pt>
                <c:pt idx="7">
                  <c:v xml:space="preserve">11 Q4</c:v>
                </c:pt>
                <c:pt idx="8">
                  <c:v xml:space="preserve">12 Q1</c:v>
                </c:pt>
                <c:pt idx="9">
                  <c:v xml:space="preserve">12 Q2</c:v>
                </c:pt>
                <c:pt idx="10">
                  <c:v xml:space="preserve">12 Q3</c:v>
                </c:pt>
                <c:pt idx="11">
                  <c:v xml:space="preserve">12 Q4</c:v>
                </c:pt>
                <c:pt idx="12">
                  <c:v xml:space="preserve">13 Q1</c:v>
                </c:pt>
                <c:pt idx="13">
                  <c:v xml:space="preserve">13 Q2</c:v>
                </c:pt>
                <c:pt idx="14">
                  <c:v xml:space="preserve">13 Q3</c:v>
                </c:pt>
                <c:pt idx="15">
                  <c:v xml:space="preserve">13 Q4</c:v>
                </c:pt>
                <c:pt idx="16">
                  <c:v xml:space="preserve">14 Q1</c:v>
                </c:pt>
                <c:pt idx="17">
                  <c:v xml:space="preserve">14 Q2</c:v>
                </c:pt>
                <c:pt idx="18">
                  <c:v xml:space="preserve">14 Q3</c:v>
                </c:pt>
                <c:pt idx="19">
                  <c:v xml:space="preserve">14 Q4</c:v>
                </c:pt>
                <c:pt idx="20">
                  <c:v xml:space="preserve">15 Q1</c:v>
                </c:pt>
                <c:pt idx="21">
                  <c:v xml:space="preserve">16 Q2</c:v>
                </c:pt>
              </c:strCache>
            </c:strRef>
          </c:cat>
          <c:val>
            <c:numRef>
              <c:f xml:space="preserve">'HoltWinters 6'!$F$6:$F$21</c:f>
              <c:numCache>
                <c:formatCode>General</c:formatCode>
                <c:ptCount val="16"/>
                <c:pt idx="0">
                  <c:v>10</c:v>
                </c:pt>
                <c:pt idx="1">
                  <c:v>14</c:v>
                </c:pt>
                <c:pt idx="2">
                  <c:v>8</c:v>
                </c:pt>
                <c:pt idx="3">
                  <c:v>25</c:v>
                </c:pt>
                <c:pt idx="4">
                  <c:v>16</c:v>
                </c:pt>
                <c:pt idx="5">
                  <c:v>22</c:v>
                </c:pt>
                <c:pt idx="6">
                  <c:v>14</c:v>
                </c:pt>
                <c:pt idx="7">
                  <c:v>35</c:v>
                </c:pt>
                <c:pt idx="8">
                  <c:v>15</c:v>
                </c:pt>
                <c:pt idx="9">
                  <c:v>27</c:v>
                </c:pt>
                <c:pt idx="10">
                  <c:v>18</c:v>
                </c:pt>
                <c:pt idx="11">
                  <c:v>40</c:v>
                </c:pt>
                <c:pt idx="12">
                  <c:v>28</c:v>
                </c:pt>
                <c:pt idx="13">
                  <c:v>40</c:v>
                </c:pt>
                <c:pt idx="14">
                  <c:v>25</c:v>
                </c:pt>
                <c:pt idx="15">
                  <c:v>65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marker>
            <c:symbol val="none"/>
          </c:marker>
          <c:val>
            <c:numRef>
              <c:f xml:space="preserve">'HoltWinters 6'!$J$6:$J$27</c:f>
              <c:numCache>
                <c:formatCode>General</c:formatCode>
                <c:ptCount val="2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11.875</c:v>
                </c:pt>
                <c:pt idx="5">
                  <c:v>17.8781403967077</c:v>
                </c:pt>
                <c:pt idx="6">
                  <c:v>13.9452534374227</c:v>
                </c:pt>
                <c:pt idx="7">
                  <c:v>32.9500457227139</c:v>
                </c:pt>
                <c:pt idx="8">
                  <c:v>20.9552651321402</c:v>
                </c:pt>
                <c:pt idx="9">
                  <c:v>26.8053371485896</c:v>
                </c:pt>
                <c:pt idx="10">
                  <c:v>21.8302287292298</c:v>
                </c:pt>
                <c:pt idx="11">
                  <c:v>41.1110559548056</c:v>
                </c:pt>
                <c:pt idx="12">
                  <c:v>27.0813982389962</c:v>
                </c:pt>
                <c:pt idx="13">
                  <c:v>34.3766343607832</c:v>
                </c:pt>
                <c:pt idx="14">
                  <c:v>28.5958648310425</c:v>
                </c:pt>
                <c:pt idx="15">
                  <c:v>48.5268922341257</c:v>
                </c:pt>
                <c:pt idx="16">
                  <c:v>35.5333107527069</c:v>
                </c:pt>
                <c:pt idx="17">
                  <c:v>44.1710087128043</c:v>
                </c:pt>
                <c:pt idx="18">
                  <c:v>36.407411226815</c:v>
                </c:pt>
                <c:pt idx="19">
                  <c:v>61.2117552889518</c:v>
                </c:pt>
                <c:pt idx="20">
                  <c:v>44.218035279557</c:v>
                </c:pt>
                <c:pt idx="21">
                  <c:v>52.8557332396543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time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title>
          <c:tx>
            <c:rich>
              <a:bodyPr anchor="ctr" anchorCtr="1"/>
              <a:lstStyle/>
              <a:p>
                <a:pPr>
                  <a:defRPr sz="1000" b="1" i="0" u="none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/>
                  <a:t>value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ln w="9525">
              <a:noFill/>
            </a:ln>
          </c:spPr>
        </c:title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Dow Jones - October 2015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Stationary!$B$3</c:f>
              <c:strCache>
                <c:ptCount val="1"/>
                <c:pt idx="0">
                  <c:v>Dow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cat>
            <c:numRef>
              <c:f>Stationary!$A$4:$A$25</c:f>
              <c:numCache>
                <c:formatCode>General</c:formatCode>
                <c:ptCount val="22"/>
                <c:pt idx="0">
                  <c:v>37165</c:v>
                </c:pt>
                <c:pt idx="1">
                  <c:v>37530</c:v>
                </c:pt>
                <c:pt idx="2">
                  <c:v>38626</c:v>
                </c:pt>
                <c:pt idx="3">
                  <c:v>38991</c:v>
                </c:pt>
                <c:pt idx="4">
                  <c:v>39356</c:v>
                </c:pt>
                <c:pt idx="5">
                  <c:v>39722</c:v>
                </c:pt>
                <c:pt idx="6">
                  <c:v>40087</c:v>
                </c:pt>
                <c:pt idx="7">
                  <c:v>41183</c:v>
                </c:pt>
                <c:pt idx="8">
                  <c:v>41548</c:v>
                </c:pt>
                <c:pt idx="9">
                  <c:v>41913</c:v>
                </c:pt>
                <c:pt idx="10">
                  <c:v>42278</c:v>
                </c:pt>
                <c:pt idx="11">
                  <c:v>42644</c:v>
                </c:pt>
                <c:pt idx="12">
                  <c:v>43739</c:v>
                </c:pt>
                <c:pt idx="13">
                  <c:v>44105</c:v>
                </c:pt>
                <c:pt idx="14">
                  <c:v>44470</c:v>
                </c:pt>
                <c:pt idx="15">
                  <c:v>44835</c:v>
                </c:pt>
                <c:pt idx="16">
                  <c:v>45200</c:v>
                </c:pt>
                <c:pt idx="17">
                  <c:v>46296</c:v>
                </c:pt>
                <c:pt idx="18">
                  <c:v>46661</c:v>
                </c:pt>
                <c:pt idx="19">
                  <c:v>47027</c:v>
                </c:pt>
                <c:pt idx="20">
                  <c:v>47392</c:v>
                </c:pt>
                <c:pt idx="21">
                  <c:v>11232</c:v>
                </c:pt>
              </c:numCache>
            </c:numRef>
          </c:cat>
          <c:val>
            <c:numRef>
              <c:f>Stationary!$B$4:$B$25</c:f>
              <c:numCache>
                <c:formatCode>General</c:formatCode>
                <c:ptCount val="22"/>
                <c:pt idx="0">
                  <c:v>16272.01</c:v>
                </c:pt>
                <c:pt idx="1">
                  <c:v>16472.37</c:v>
                </c:pt>
                <c:pt idx="2">
                  <c:v>16776.43</c:v>
                </c:pt>
                <c:pt idx="3">
                  <c:v>16790.19</c:v>
                </c:pt>
                <c:pt idx="4">
                  <c:v>16912.29</c:v>
                </c:pt>
                <c:pt idx="5">
                  <c:v>17050.75</c:v>
                </c:pt>
                <c:pt idx="6">
                  <c:v>17084.49</c:v>
                </c:pt>
                <c:pt idx="7">
                  <c:v>17131.86</c:v>
                </c:pt>
                <c:pt idx="8">
                  <c:v>17081.89</c:v>
                </c:pt>
                <c:pt idx="9">
                  <c:v>16924.75</c:v>
                </c:pt>
                <c:pt idx="10">
                  <c:v>17141.75</c:v>
                </c:pt>
                <c:pt idx="11">
                  <c:v>17215.97</c:v>
                </c:pt>
                <c:pt idx="12">
                  <c:v>17230.54</c:v>
                </c:pt>
                <c:pt idx="13">
                  <c:v>17217.11</c:v>
                </c:pt>
                <c:pt idx="14">
                  <c:v>17168.61</c:v>
                </c:pt>
                <c:pt idx="15">
                  <c:v>17489.16</c:v>
                </c:pt>
                <c:pt idx="16">
                  <c:v>17646.7</c:v>
                </c:pt>
                <c:pt idx="17">
                  <c:v>17623.05</c:v>
                </c:pt>
                <c:pt idx="18">
                  <c:v>17581.43</c:v>
                </c:pt>
                <c:pt idx="19">
                  <c:v>17779.52</c:v>
                </c:pt>
                <c:pt idx="20">
                  <c:v>17755.8</c:v>
                </c:pt>
                <c:pt idx="21">
                  <c:v>17663.54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[$-409]MMM\-YY;@" sourceLinked="0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16000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0" sourceLinked="0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Differences (Lag 1)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Stationary!$N$3</c:f>
              <c:strCache>
                <c:ptCount val="1"/>
                <c:pt idx="0">
                  <c:v>Diff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val>
            <c:numRef>
              <c:f>Stationary!$N$4:$N$25</c:f>
              <c:numCache>
                <c:formatCode>General</c:formatCode>
                <c:ptCount val="22"/>
                <c:pt idx="0">
                  <c:v>0</c:v>
                </c:pt>
                <c:pt idx="1">
                  <c:v>200.359999999999</c:v>
                </c:pt>
                <c:pt idx="2">
                  <c:v>304.060000000001</c:v>
                </c:pt>
                <c:pt idx="3">
                  <c:v>13.7599999999984</c:v>
                </c:pt>
                <c:pt idx="4">
                  <c:v>122.100000000002</c:v>
                </c:pt>
                <c:pt idx="5">
                  <c:v>138.459999999999</c:v>
                </c:pt>
                <c:pt idx="6">
                  <c:v>33.7400000000016</c:v>
                </c:pt>
                <c:pt idx="7">
                  <c:v>47.369999999999</c:v>
                </c:pt>
                <c:pt idx="8">
                  <c:v>-49.9700000000012</c:v>
                </c:pt>
                <c:pt idx="9">
                  <c:v>-157.139999999999</c:v>
                </c:pt>
                <c:pt idx="10">
                  <c:v>217</c:v>
                </c:pt>
                <c:pt idx="11">
                  <c:v>74.2200000000012</c:v>
                </c:pt>
                <c:pt idx="12">
                  <c:v>14.5699999999997</c:v>
                </c:pt>
                <c:pt idx="13">
                  <c:v>-13.4300000000003</c:v>
                </c:pt>
                <c:pt idx="14">
                  <c:v>-48.5</c:v>
                </c:pt>
                <c:pt idx="15">
                  <c:v>320.549999999999</c:v>
                </c:pt>
                <c:pt idx="16">
                  <c:v>157.540000000001</c:v>
                </c:pt>
                <c:pt idx="17">
                  <c:v>-23.6500000000015</c:v>
                </c:pt>
                <c:pt idx="18">
                  <c:v>-41.619999999999</c:v>
                </c:pt>
                <c:pt idx="19">
                  <c:v>198.09</c:v>
                </c:pt>
                <c:pt idx="20">
                  <c:v>-23.7200000000012</c:v>
                </c:pt>
                <c:pt idx="21">
                  <c:v>-92.2599999999984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Correlogram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>ACF!$E$5:$E$14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PACF Correlogram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'PACF 1'!$G$5:$G$11</c:f>
              <c:strCache>
                <c:ptCount val="1"/>
                <c:pt idx="0">
                  <c:v>#NAME?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cat>
            <c:numRef>
              <c:f xml:space="preserve">'PACF 1'!$D$5:$D$11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cat>
          <c:val>
            <c:numRef>
              <c:f xml:space="preserve">'PACF 1'!$G$5:$G$11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PACF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Correlogram</a:t>
            </a:r>
            <a:endParaRPr/>
          </a:p>
        </c:rich>
      </c:tx>
      <c:layout/>
      <c:overlay val="0"/>
    </c:title>
    <c:plotArea>
      <c:layout/>
      <c:barChart>
        <c:barDir val="col"/>
        <c:grouping val="clustered"/>
        <c:varyColors val="0"/>
        <c:ser>
          <c:idx val="2"/>
          <c:order val="0"/>
          <c:tx>
            <c:v>acf</c:v>
          </c:tx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Correlogram!$C$6:$C$36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Correlogram!$D$6:$D$36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0"/>
          <c:order val="1"/>
          <c:tx>
            <c:strRef>
              <c:f>Correlogram!$E$5</c:f>
              <c:strCache>
                <c:ptCount val="1"/>
                <c:pt idx="0">
                  <c:v>lower</c:v>
                </c:pt>
              </c:strCache>
            </c:strRef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Correlogram!$C$6:$C$36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Correlogram!$E$6:$E$36</c:f>
              <c:numCache>
                <c:formatCode>General</c:formatCode>
                <c:ptCount val="31"/>
                <c:pt idx="0">
                  <c:v>30</c:v>
                </c:pt>
                <c:pt idx="1">
                  <c:v>-0.261911204305899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Correlogram!$F$5</c:f>
              <c:strCache>
                <c:ptCount val="1"/>
                <c:pt idx="0">
                  <c:v>upper</c:v>
                </c:pt>
              </c:strCache>
            </c:strRef>
          </c:tx>
          <c:marker>
            <c:symbol val="none"/>
          </c:marker>
          <c:val>
            <c:numRef>
              <c:f>Correlogram!$F$6:$F$36</c:f>
              <c:numCache>
                <c:formatCode>General</c:formatCode>
                <c:ptCount val="31"/>
                <c:pt idx="0">
                  <c:v>0</c:v>
                </c:pt>
                <c:pt idx="1">
                  <c:v>0.261911204305899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Correlogram</a:t>
            </a:r>
            <a:endParaRPr/>
          </a:p>
        </c:rich>
      </c:tx>
      <c:layout/>
      <c:overlay val="0"/>
    </c:title>
    <c:plotArea>
      <c:layout/>
      <c:barChart>
        <c:barDir val="col"/>
        <c:grouping val="clustered"/>
        <c:varyColors val="0"/>
        <c:ser>
          <c:idx val="2"/>
          <c:order val="0"/>
          <c:tx>
            <c:v>pacf</c:v>
          </c:tx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Correlogram!$P$6:$P$36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Correlogram!$Q$6:$Q$36</c:f>
              <c:numCache>
                <c:formatCode>General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0"/>
          <c:order val="1"/>
          <c:tx>
            <c:strRef>
              <c:f>Correlogram!$R$5</c:f>
              <c:strCache>
                <c:ptCount val="1"/>
                <c:pt idx="0">
                  <c:v>lower</c:v>
                </c:pt>
              </c:strCache>
            </c:strRef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Correlogram!$P$6:$P$36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Correlogram!$R$6:$R$36</c:f>
              <c:numCache>
                <c:formatCode>General</c:formatCode>
                <c:ptCount val="31"/>
                <c:pt idx="0">
                  <c:v>30</c:v>
                </c:pt>
                <c:pt idx="1">
                  <c:v>-0.261911204305899</c:v>
                </c:pt>
                <c:pt idx="2">
                  <c:v>-0.261911204305899</c:v>
                </c:pt>
                <c:pt idx="3">
                  <c:v>-0.261911204305899</c:v>
                </c:pt>
                <c:pt idx="4">
                  <c:v>-0.261911204305899</c:v>
                </c:pt>
                <c:pt idx="5">
                  <c:v>-0.261911204305899</c:v>
                </c:pt>
                <c:pt idx="6">
                  <c:v>-0.261911204305899</c:v>
                </c:pt>
                <c:pt idx="7">
                  <c:v>-0.261911204305899</c:v>
                </c:pt>
                <c:pt idx="8">
                  <c:v>-0.261911204305899</c:v>
                </c:pt>
                <c:pt idx="9">
                  <c:v>-0.261911204305899</c:v>
                </c:pt>
                <c:pt idx="10">
                  <c:v>-0.261911204305899</c:v>
                </c:pt>
                <c:pt idx="11">
                  <c:v>-0.261911204305899</c:v>
                </c:pt>
                <c:pt idx="12">
                  <c:v>-0.261911204305899</c:v>
                </c:pt>
                <c:pt idx="13">
                  <c:v>-0.261911204305899</c:v>
                </c:pt>
                <c:pt idx="14">
                  <c:v>-0.261911204305899</c:v>
                </c:pt>
                <c:pt idx="15">
                  <c:v>-0.261911204305899</c:v>
                </c:pt>
                <c:pt idx="16">
                  <c:v>-0.261911204305899</c:v>
                </c:pt>
                <c:pt idx="17">
                  <c:v>-0.261911204305899</c:v>
                </c:pt>
                <c:pt idx="18">
                  <c:v>-0.261911204305899</c:v>
                </c:pt>
                <c:pt idx="19">
                  <c:v>-0.261911204305899</c:v>
                </c:pt>
                <c:pt idx="20">
                  <c:v>-0.261911204305899</c:v>
                </c:pt>
                <c:pt idx="21">
                  <c:v>-0.261911204305899</c:v>
                </c:pt>
                <c:pt idx="22">
                  <c:v>-0.261911204305899</c:v>
                </c:pt>
                <c:pt idx="23">
                  <c:v>-0.261911204305899</c:v>
                </c:pt>
                <c:pt idx="24">
                  <c:v>-0.261911204305899</c:v>
                </c:pt>
                <c:pt idx="25">
                  <c:v>-0.261911204305899</c:v>
                </c:pt>
                <c:pt idx="26">
                  <c:v>-0.261911204305899</c:v>
                </c:pt>
                <c:pt idx="27">
                  <c:v>-0.261911204305899</c:v>
                </c:pt>
                <c:pt idx="28">
                  <c:v>-0.261911204305899</c:v>
                </c:pt>
                <c:pt idx="29">
                  <c:v>-0.261911204305899</c:v>
                </c:pt>
                <c:pt idx="30">
                  <c:v>-0.261911204305899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Correlogram!$S$5</c:f>
              <c:strCache>
                <c:ptCount val="1"/>
                <c:pt idx="0">
                  <c:v>upper</c:v>
                </c:pt>
              </c:strCache>
            </c:strRef>
          </c:tx>
          <c:marker>
            <c:symbol val="none"/>
          </c:marker>
          <c:val>
            <c:numRef>
              <c:f>Correlogram!$S$6:$S$36</c:f>
              <c:numCache>
                <c:formatCode>General</c:formatCode>
                <c:ptCount val="31"/>
                <c:pt idx="0">
                  <c:v>0</c:v>
                </c:pt>
                <c:pt idx="1">
                  <c:v>0.261911204305899</c:v>
                </c:pt>
                <c:pt idx="2">
                  <c:v>0.261911204305899</c:v>
                </c:pt>
                <c:pt idx="3">
                  <c:v>0.261911204305899</c:v>
                </c:pt>
                <c:pt idx="4">
                  <c:v>0.261911204305899</c:v>
                </c:pt>
                <c:pt idx="5">
                  <c:v>0.261911204305899</c:v>
                </c:pt>
                <c:pt idx="6">
                  <c:v>0.261911204305899</c:v>
                </c:pt>
                <c:pt idx="7">
                  <c:v>0.261911204305899</c:v>
                </c:pt>
                <c:pt idx="8">
                  <c:v>0.261911204305899</c:v>
                </c:pt>
                <c:pt idx="9">
                  <c:v>0.261911204305899</c:v>
                </c:pt>
                <c:pt idx="10">
                  <c:v>0.261911204305899</c:v>
                </c:pt>
                <c:pt idx="11">
                  <c:v>0.261911204305899</c:v>
                </c:pt>
                <c:pt idx="12">
                  <c:v>0.261911204305899</c:v>
                </c:pt>
                <c:pt idx="13">
                  <c:v>0.261911204305899</c:v>
                </c:pt>
                <c:pt idx="14">
                  <c:v>0.261911204305899</c:v>
                </c:pt>
                <c:pt idx="15">
                  <c:v>0.261911204305899</c:v>
                </c:pt>
                <c:pt idx="16">
                  <c:v>0.261911204305899</c:v>
                </c:pt>
                <c:pt idx="17">
                  <c:v>0.261911204305899</c:v>
                </c:pt>
                <c:pt idx="18">
                  <c:v>0.261911204305899</c:v>
                </c:pt>
                <c:pt idx="19">
                  <c:v>0.261911204305899</c:v>
                </c:pt>
                <c:pt idx="20">
                  <c:v>0.261911204305899</c:v>
                </c:pt>
                <c:pt idx="21">
                  <c:v>0.261911204305899</c:v>
                </c:pt>
                <c:pt idx="22">
                  <c:v>0.261911204305899</c:v>
                </c:pt>
                <c:pt idx="23">
                  <c:v>0.261911204305899</c:v>
                </c:pt>
                <c:pt idx="24">
                  <c:v>0.261911204305899</c:v>
                </c:pt>
                <c:pt idx="25">
                  <c:v>0.261911204305899</c:v>
                </c:pt>
                <c:pt idx="26">
                  <c:v>0.261911204305899</c:v>
                </c:pt>
                <c:pt idx="27">
                  <c:v>0.261911204305899</c:v>
                </c:pt>
                <c:pt idx="28">
                  <c:v>0.261911204305899</c:v>
                </c:pt>
                <c:pt idx="29">
                  <c:v>0.261911204305899</c:v>
                </c:pt>
                <c:pt idx="30">
                  <c:v>0.261911204305899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ACF for White Noise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'WN 1'!$E$3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'WN 1'!$E$4:$E$43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-0.1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PACF for White Noise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'WN 1'!$F$3</c:f>
              <c:strCache>
                <c:ptCount val="1"/>
                <c:pt idx="0">
                  <c:v>PACF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'WN 1'!$F$4:$F$43</c:f>
              <c:numCache>
                <c:formatCode>General</c:formatCode>
                <c:ptCount val="4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PACF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White Noise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'WN 1'!$B$3:$B$302</c:f>
              <c:numCache>
                <c:formatCode>General</c:formatCode>
                <c:ptCount val="300"/>
                <c:pt idx="0">
                  <c:v>-0.875347928898731</c:v>
                </c:pt>
                <c:pt idx="1">
                  <c:v>2.18108465619607</c:v>
                </c:pt>
                <c:pt idx="2">
                  <c:v>-0.741464149440766</c:v>
                </c:pt>
                <c:pt idx="3">
                  <c:v>0.799272879911413</c:v>
                </c:pt>
                <c:pt idx="4">
                  <c:v>1.3671695212927</c:v>
                </c:pt>
                <c:pt idx="5">
                  <c:v>0.893215829450493</c:v>
                </c:pt>
                <c:pt idx="6">
                  <c:v>0.608679780545894</c:v>
                </c:pt>
                <c:pt idx="7">
                  <c:v>0.079728608638024</c:v>
                </c:pt>
                <c:pt idx="8">
                  <c:v>0.108344836871789</c:v>
                </c:pt>
                <c:pt idx="9">
                  <c:v>0.975447280482269</c:v>
                </c:pt>
                <c:pt idx="10">
                  <c:v>-0.045408091465726</c:v>
                </c:pt>
                <c:pt idx="11">
                  <c:v>-1.66569573321897</c:v>
                </c:pt>
                <c:pt idx="12">
                  <c:v>-0.699613614878988</c:v>
                </c:pt>
                <c:pt idx="13">
                  <c:v>0.737760911847193</c:v>
                </c:pt>
                <c:pt idx="14">
                  <c:v>1.36773585215302</c:v>
                </c:pt>
                <c:pt idx="15">
                  <c:v>-0.084435176136185</c:v>
                </c:pt>
                <c:pt idx="16">
                  <c:v>0.851065793317664</c:v>
                </c:pt>
                <c:pt idx="17">
                  <c:v>-1.75623330372923</c:v>
                </c:pt>
                <c:pt idx="18">
                  <c:v>0.055644922024413</c:v>
                </c:pt>
                <c:pt idx="19">
                  <c:v>-1.49997525431602</c:v>
                </c:pt>
                <c:pt idx="20">
                  <c:v>1.31214654431639</c:v>
                </c:pt>
                <c:pt idx="21">
                  <c:v>-0.929351962404065</c:v>
                </c:pt>
                <c:pt idx="22">
                  <c:v>-0.744178269053182</c:v>
                </c:pt>
                <c:pt idx="23">
                  <c:v>-0.809841095681702</c:v>
                </c:pt>
                <c:pt idx="24">
                  <c:v>-0.779452287679842</c:v>
                </c:pt>
                <c:pt idx="25">
                  <c:v>-0.897001768408441</c:v>
                </c:pt>
                <c:pt idx="26">
                  <c:v>-0.923774688779951</c:v>
                </c:pt>
                <c:pt idx="27">
                  <c:v>0.393815727341275</c:v>
                </c:pt>
                <c:pt idx="28">
                  <c:v>0.260448421935749</c:v>
                </c:pt>
                <c:pt idx="29">
                  <c:v>-0.730464115236972</c:v>
                </c:pt>
                <c:pt idx="30">
                  <c:v>-1.32239389035058</c:v>
                </c:pt>
                <c:pt idx="31">
                  <c:v>-0.375138502108117</c:v>
                </c:pt>
                <c:pt idx="32">
                  <c:v>-0.177909576936843</c:v>
                </c:pt>
                <c:pt idx="33">
                  <c:v>0.187609474448345</c:v>
                </c:pt>
                <c:pt idx="34">
                  <c:v>0.649423631554703</c:v>
                </c:pt>
                <c:pt idx="35">
                  <c:v>-0.83782675898665</c:v>
                </c:pt>
                <c:pt idx="36">
                  <c:v>-0.256452728242503</c:v>
                </c:pt>
                <c:pt idx="37">
                  <c:v>0.80076728637194</c:v>
                </c:pt>
                <c:pt idx="38">
                  <c:v>0.171321023195334</c:v>
                </c:pt>
                <c:pt idx="39">
                  <c:v>1.33044733943063</c:v>
                </c:pt>
                <c:pt idx="40">
                  <c:v>-0.647744172642019</c:v>
                </c:pt>
                <c:pt idx="41">
                  <c:v>0.231122185799372</c:v>
                </c:pt>
                <c:pt idx="42">
                  <c:v>-1.19085913101651</c:v>
                </c:pt>
                <c:pt idx="43">
                  <c:v>-0.586978398232621</c:v>
                </c:pt>
                <c:pt idx="44">
                  <c:v>0.146457823063711</c:v>
                </c:pt>
                <c:pt idx="45">
                  <c:v>0.511184796993512</c:v>
                </c:pt>
                <c:pt idx="46">
                  <c:v>0.412832100209692</c:v>
                </c:pt>
                <c:pt idx="47">
                  <c:v>-1.15189281446155</c:v>
                </c:pt>
                <c:pt idx="48">
                  <c:v>-1.71450033644822</c:v>
                </c:pt>
                <c:pt idx="49">
                  <c:v>-0.676343116477146</c:v>
                </c:pt>
                <c:pt idx="50">
                  <c:v>-1.70517034955695</c:v>
                </c:pt>
                <c:pt idx="51">
                  <c:v>0.927206932423459</c:v>
                </c:pt>
                <c:pt idx="52">
                  <c:v>0.798677498699619</c:v>
                </c:pt>
                <c:pt idx="53">
                  <c:v>-1.91867912350971</c:v>
                </c:pt>
                <c:pt idx="54">
                  <c:v>-0.212466850470897</c:v>
                </c:pt>
                <c:pt idx="55">
                  <c:v>0.223477595600709</c:v>
                </c:pt>
                <c:pt idx="56">
                  <c:v>-0.694178437382285</c:v>
                </c:pt>
                <c:pt idx="57">
                  <c:v>-0.525088024898175</c:v>
                </c:pt>
                <c:pt idx="58">
                  <c:v>-0.213903133115203</c:v>
                </c:pt>
                <c:pt idx="59">
                  <c:v>-0.770112563155304</c:v>
                </c:pt>
                <c:pt idx="60">
                  <c:v>0.628863366048332</c:v>
                </c:pt>
                <c:pt idx="61">
                  <c:v>0.719111764227816</c:v>
                </c:pt>
                <c:pt idx="62">
                  <c:v>-1.22539471749075</c:v>
                </c:pt>
                <c:pt idx="63">
                  <c:v>-1.62766804092292</c:v>
                </c:pt>
                <c:pt idx="64">
                  <c:v>-1.72490868769171</c:v>
                </c:pt>
                <c:pt idx="65">
                  <c:v>0.15687247850039</c:v>
                </c:pt>
                <c:pt idx="66">
                  <c:v>-0.551446126557135</c:v>
                </c:pt>
                <c:pt idx="67">
                  <c:v>-0.336391189123599</c:v>
                </c:pt>
                <c:pt idx="68">
                  <c:v>0.675957804605939</c:v>
                </c:pt>
                <c:pt idx="69">
                  <c:v>-0.347462284455757</c:v>
                </c:pt>
                <c:pt idx="70">
                  <c:v>-0.954679542585546</c:v>
                </c:pt>
                <c:pt idx="71">
                  <c:v>1.13459927911311</c:v>
                </c:pt>
                <c:pt idx="72">
                  <c:v>-1.90240797578641</c:v>
                </c:pt>
                <c:pt idx="73">
                  <c:v>-1.57757220933967</c:v>
                </c:pt>
                <c:pt idx="74">
                  <c:v>0.736303849441003</c:v>
                </c:pt>
                <c:pt idx="75">
                  <c:v>-0.002512425089746</c:v>
                </c:pt>
                <c:pt idx="76">
                  <c:v>1.21602613649342</c:v>
                </c:pt>
                <c:pt idx="77">
                  <c:v>0.953626763130958</c:v>
                </c:pt>
                <c:pt idx="78">
                  <c:v>-0.849944630824923</c:v>
                </c:pt>
                <c:pt idx="79">
                  <c:v>-1.14649460760842</c:v>
                </c:pt>
                <c:pt idx="80">
                  <c:v>-1.26786519799687</c:v>
                </c:pt>
                <c:pt idx="81">
                  <c:v>0.193090974559187</c:v>
                </c:pt>
                <c:pt idx="82">
                  <c:v>-0.466163377053853</c:v>
                </c:pt>
                <c:pt idx="83">
                  <c:v>-0.551362048249937</c:v>
                </c:pt>
                <c:pt idx="84">
                  <c:v>-0.432425108115947</c:v>
                </c:pt>
                <c:pt idx="85">
                  <c:v>-0.956110095887743</c:v>
                </c:pt>
                <c:pt idx="86">
                  <c:v>-0.361999713652288</c:v>
                </c:pt>
                <c:pt idx="87">
                  <c:v>-0.895451720904348</c:v>
                </c:pt>
                <c:pt idx="88">
                  <c:v>-1.08390015961942</c:v>
                </c:pt>
                <c:pt idx="89">
                  <c:v>-0.905925150615696</c:v>
                </c:pt>
                <c:pt idx="90">
                  <c:v>1.97159819260186</c:v>
                </c:pt>
                <c:pt idx="91">
                  <c:v>-0.93674386716079</c:v>
                </c:pt>
                <c:pt idx="92">
                  <c:v>0.722898357811584</c:v>
                </c:pt>
                <c:pt idx="93">
                  <c:v>0.100590715182723</c:v>
                </c:pt>
                <c:pt idx="94">
                  <c:v>-0.688225445687112</c:v>
                </c:pt>
                <c:pt idx="95">
                  <c:v>0.311397994729116</c:v>
                </c:pt>
                <c:pt idx="96">
                  <c:v>-0.72871379496341</c:v>
                </c:pt>
                <c:pt idx="97">
                  <c:v>0.32914402167001</c:v>
                </c:pt>
                <c:pt idx="98">
                  <c:v>-1.09280343684077</c:v>
                </c:pt>
                <c:pt idx="99">
                  <c:v>-0.361442051223814</c:v>
                </c:pt>
                <c:pt idx="100">
                  <c:v>0.395022503773232</c:v>
                </c:pt>
                <c:pt idx="101">
                  <c:v>0.554901504712031</c:v>
                </c:pt>
                <c:pt idx="102">
                  <c:v>-1.06095852340723</c:v>
                </c:pt>
                <c:pt idx="103">
                  <c:v>0.572969239818527</c:v>
                </c:pt>
                <c:pt idx="104">
                  <c:v>1.69476930252335</c:v>
                </c:pt>
                <c:pt idx="105">
                  <c:v>-0.750840672802032</c:v>
                </c:pt>
                <c:pt idx="106">
                  <c:v>-0.18200666611082</c:v>
                </c:pt>
                <c:pt idx="107">
                  <c:v>-1.36085181527572</c:v>
                </c:pt>
                <c:pt idx="108">
                  <c:v>0.874421256636435</c:v>
                </c:pt>
                <c:pt idx="109">
                  <c:v>-0.939773037173455</c:v>
                </c:pt>
                <c:pt idx="110">
                  <c:v>0.730792531334611</c:v>
                </c:pt>
                <c:pt idx="111">
                  <c:v>0.39791421325749</c:v>
                </c:pt>
                <c:pt idx="112">
                  <c:v>1.0686237467316</c:v>
                </c:pt>
                <c:pt idx="113">
                  <c:v>-1.60254021017177</c:v>
                </c:pt>
                <c:pt idx="114">
                  <c:v>-0.828497341923291</c:v>
                </c:pt>
                <c:pt idx="115">
                  <c:v>2.57623162964081</c:v>
                </c:pt>
                <c:pt idx="116">
                  <c:v>0.71536911268883</c:v>
                </c:pt>
                <c:pt idx="117">
                  <c:v>0.225170621848706</c:v>
                </c:pt>
                <c:pt idx="118">
                  <c:v>-0.991917108124247</c:v>
                </c:pt>
                <c:pt idx="119">
                  <c:v>0.683721992262522</c:v>
                </c:pt>
                <c:pt idx="120">
                  <c:v>-1.15945425513757</c:v>
                </c:pt>
                <c:pt idx="121">
                  <c:v>-2.27890472370259</c:v>
                </c:pt>
                <c:pt idx="122">
                  <c:v>0.884387548166673</c:v>
                </c:pt>
                <c:pt idx="123">
                  <c:v>1.91758789394421</c:v>
                </c:pt>
                <c:pt idx="124">
                  <c:v>0.395518467973875</c:v>
                </c:pt>
                <c:pt idx="125">
                  <c:v>-1.72655601933686</c:v>
                </c:pt>
                <c:pt idx="126">
                  <c:v>0.442816693367265</c:v>
                </c:pt>
                <c:pt idx="127">
                  <c:v>1.43889347394147</c:v>
                </c:pt>
                <c:pt idx="128">
                  <c:v>0.122752716836197</c:v>
                </c:pt>
                <c:pt idx="129">
                  <c:v>-2.30432903243556</c:v>
                </c:pt>
                <c:pt idx="130">
                  <c:v>-1.22805591437186</c:v>
                </c:pt>
                <c:pt idx="131">
                  <c:v>0.526640521441901</c:v>
                </c:pt>
                <c:pt idx="132">
                  <c:v>-0.239363050317087</c:v>
                </c:pt>
                <c:pt idx="133">
                  <c:v>-0.406232126705296</c:v>
                </c:pt>
                <c:pt idx="134">
                  <c:v>2.15264240372627</c:v>
                </c:pt>
                <c:pt idx="135">
                  <c:v>0.815372370956318</c:v>
                </c:pt>
                <c:pt idx="136">
                  <c:v>0.311689039759746</c:v>
                </c:pt>
                <c:pt idx="137">
                  <c:v>-1.12579544845156</c:v>
                </c:pt>
                <c:pt idx="138">
                  <c:v>0.882409790219083</c:v>
                </c:pt>
                <c:pt idx="139">
                  <c:v>-0.683610377625844</c:v>
                </c:pt>
                <c:pt idx="140">
                  <c:v>1.05920640581357</c:v>
                </c:pt>
                <c:pt idx="141">
                  <c:v>-0.913020272353197</c:v>
                </c:pt>
                <c:pt idx="142">
                  <c:v>1.42264198119819</c:v>
                </c:pt>
                <c:pt idx="143">
                  <c:v>0.962062236635671</c:v>
                </c:pt>
                <c:pt idx="144">
                  <c:v>0.638751670687282</c:v>
                </c:pt>
                <c:pt idx="145">
                  <c:v>0.742408146615953</c:v>
                </c:pt>
                <c:pt idx="146">
                  <c:v>0.553328058726555</c:v>
                </c:pt>
                <c:pt idx="147">
                  <c:v>1.29754116841027</c:v>
                </c:pt>
                <c:pt idx="148">
                  <c:v>-1.11256587918118</c:v>
                </c:pt>
                <c:pt idx="149">
                  <c:v>0.616129299066215</c:v>
                </c:pt>
                <c:pt idx="150">
                  <c:v>1.00556723578672</c:v>
                </c:pt>
                <c:pt idx="151">
                  <c:v>-0.495571603175859</c:v>
                </c:pt>
                <c:pt idx="152">
                  <c:v>0.479541168887447</c:v>
                </c:pt>
                <c:pt idx="153">
                  <c:v>-0.105561661950619</c:v>
                </c:pt>
                <c:pt idx="154">
                  <c:v>0.275598512315559</c:v>
                </c:pt>
                <c:pt idx="155">
                  <c:v>0.597752346209545</c:v>
                </c:pt>
                <c:pt idx="156">
                  <c:v>-0.091167032413317</c:v>
                </c:pt>
                <c:pt idx="157">
                  <c:v>-0.668671753183314</c:v>
                </c:pt>
                <c:pt idx="158">
                  <c:v>0.146347649094498</c:v>
                </c:pt>
                <c:pt idx="159">
                  <c:v>1.38406038472973</c:v>
                </c:pt>
                <c:pt idx="160">
                  <c:v>-0.223035283782141</c:v>
                </c:pt>
                <c:pt idx="161">
                  <c:v>-0.465432819036461</c:v>
                </c:pt>
                <c:pt idx="162">
                  <c:v>0.190761600112237</c:v>
                </c:pt>
                <c:pt idx="163">
                  <c:v>0.68625390725344</c:v>
                </c:pt>
                <c:pt idx="164">
                  <c:v>1.10526447095079</c:v>
                </c:pt>
                <c:pt idx="165">
                  <c:v>1.40742303928767</c:v>
                </c:pt>
                <c:pt idx="166">
                  <c:v>0.901016752664627</c:v>
                </c:pt>
                <c:pt idx="167">
                  <c:v>-0.018149149312319</c:v>
                </c:pt>
                <c:pt idx="168">
                  <c:v>-1.29093446721631</c:v>
                </c:pt>
                <c:pt idx="169">
                  <c:v>-1.14087805794702</c:v>
                </c:pt>
                <c:pt idx="170">
                  <c:v>-0.1440179667964</c:v>
                </c:pt>
                <c:pt idx="171">
                  <c:v>-0.830349883603096</c:v>
                </c:pt>
                <c:pt idx="172">
                  <c:v>0.754772324464635</c:v>
                </c:pt>
                <c:pt idx="173">
                  <c:v>-0.469048117082168</c:v>
                </c:pt>
                <c:pt idx="174">
                  <c:v>0.964838988215726</c:v>
                </c:pt>
                <c:pt idx="175">
                  <c:v>-0.076919449368898</c:v>
                </c:pt>
                <c:pt idx="176">
                  <c:v>0.420400345842878</c:v>
                </c:pt>
                <c:pt idx="177">
                  <c:v>-1.27219748821455</c:v>
                </c:pt>
                <c:pt idx="178">
                  <c:v>-2.27866233535158</c:v>
                </c:pt>
                <c:pt idx="179">
                  <c:v>-0.491051079583638</c:v>
                </c:pt>
                <c:pt idx="180">
                  <c:v>0.481465401848956</c:v>
                </c:pt>
                <c:pt idx="181">
                  <c:v>-1.64488642291869</c:v>
                </c:pt>
                <c:pt idx="182">
                  <c:v>0.066632877659726</c:v>
                </c:pt>
                <c:pt idx="183">
                  <c:v>0.746036216894715</c:v>
                </c:pt>
                <c:pt idx="184">
                  <c:v>0.278613288368639</c:v>
                </c:pt>
                <c:pt idx="185">
                  <c:v>1.12669840176195</c:v>
                </c:pt>
                <c:pt idx="186">
                  <c:v>-0.420356313389496</c:v>
                </c:pt>
                <c:pt idx="187">
                  <c:v>-1.72761705845154</c:v>
                </c:pt>
                <c:pt idx="188">
                  <c:v>1.33135708433792</c:v>
                </c:pt>
                <c:pt idx="189">
                  <c:v>-2.68828226985536</c:v>
                </c:pt>
                <c:pt idx="190">
                  <c:v>-1.02977321588946</c:v>
                </c:pt>
                <c:pt idx="191">
                  <c:v>1.3556005978258</c:v>
                </c:pt>
                <c:pt idx="192">
                  <c:v>1.6807352687308</c:v>
                </c:pt>
                <c:pt idx="193">
                  <c:v>1.85201342915161</c:v>
                </c:pt>
                <c:pt idx="194">
                  <c:v>-0.075661295451868</c:v>
                </c:pt>
                <c:pt idx="195">
                  <c:v>-0.184073745607334</c:v>
                </c:pt>
                <c:pt idx="196">
                  <c:v>-0.044711145801601</c:v>
                </c:pt>
                <c:pt idx="197">
                  <c:v>1.50405634110843</c:v>
                </c:pt>
                <c:pt idx="198">
                  <c:v>-1.32855226603977</c:v>
                </c:pt>
                <c:pt idx="199">
                  <c:v>-0.33372062248518</c:v>
                </c:pt>
                <c:pt idx="200">
                  <c:v>-0.384708086286622</c:v>
                </c:pt>
                <c:pt idx="201">
                  <c:v>-0.559995019853365</c:v>
                </c:pt>
                <c:pt idx="202">
                  <c:v>-0.027644475243779</c:v>
                </c:pt>
                <c:pt idx="203">
                  <c:v>-0.797996062056254</c:v>
                </c:pt>
                <c:pt idx="204">
                  <c:v>-1.58144831372338</c:v>
                </c:pt>
                <c:pt idx="205">
                  <c:v>-0.578196001260023</c:v>
                </c:pt>
                <c:pt idx="206">
                  <c:v>0.076483278377207</c:v>
                </c:pt>
                <c:pt idx="207">
                  <c:v>-0.120556003849743</c:v>
                </c:pt>
                <c:pt idx="208">
                  <c:v>-0.781518430473889</c:v>
                </c:pt>
                <c:pt idx="209">
                  <c:v>-0.64975508340966</c:v>
                </c:pt>
                <c:pt idx="210">
                  <c:v>0.11819283785108</c:v>
                </c:pt>
                <c:pt idx="211">
                  <c:v>1.26937409936586</c:v>
                </c:pt>
                <c:pt idx="212">
                  <c:v>-0.296298585083894</c:v>
                </c:pt>
                <c:pt idx="213">
                  <c:v>-0.383867465996855</c:v>
                </c:pt>
                <c:pt idx="214">
                  <c:v>0.713965979980356</c:v>
                </c:pt>
                <c:pt idx="215">
                  <c:v>1.39505804907269</c:v>
                </c:pt>
                <c:pt idx="216">
                  <c:v>-0.409946934752466</c:v>
                </c:pt>
                <c:pt idx="217">
                  <c:v>0.407764000011133</c:v>
                </c:pt>
                <c:pt idx="218">
                  <c:v>-0.961710659966184</c:v>
                </c:pt>
                <c:pt idx="219">
                  <c:v>0.174029269975143</c:v>
                </c:pt>
                <c:pt idx="220">
                  <c:v>-0.410624693058643</c:v>
                </c:pt>
                <c:pt idx="221">
                  <c:v>-1.72947151220279</c:v>
                </c:pt>
                <c:pt idx="222">
                  <c:v>0.607091999040653</c:v>
                </c:pt>
                <c:pt idx="223">
                  <c:v>-0.5194289406435</c:v>
                </c:pt>
                <c:pt idx="224">
                  <c:v>-1.37828319344315</c:v>
                </c:pt>
                <c:pt idx="225">
                  <c:v>-0.992339588473486</c:v>
                </c:pt>
                <c:pt idx="226">
                  <c:v>0.463184401884872</c:v>
                </c:pt>
                <c:pt idx="227">
                  <c:v>-0.615270497016475</c:v>
                </c:pt>
                <c:pt idx="228">
                  <c:v>-1.45339984491241</c:v>
                </c:pt>
                <c:pt idx="229">
                  <c:v>-1.15808825180783</c:v>
                </c:pt>
                <c:pt idx="230">
                  <c:v>-1.43880391201979</c:v>
                </c:pt>
                <c:pt idx="231">
                  <c:v>0.942357765966522</c:v>
                </c:pt>
                <c:pt idx="232">
                  <c:v>1.56531302594643</c:v>
                </c:pt>
                <c:pt idx="233">
                  <c:v>0.06564411961791</c:v>
                </c:pt>
                <c:pt idx="234">
                  <c:v>-0.534735677098416</c:v>
                </c:pt>
                <c:pt idx="235">
                  <c:v>0.201989799413622</c:v>
                </c:pt>
                <c:pt idx="236">
                  <c:v>1.35282197518749</c:v>
                </c:pt>
                <c:pt idx="237">
                  <c:v>1.40054123941347</c:v>
                </c:pt>
                <c:pt idx="238">
                  <c:v>1.59813395657288</c:v>
                </c:pt>
                <c:pt idx="239">
                  <c:v>0.058523790134271</c:v>
                </c:pt>
                <c:pt idx="240">
                  <c:v>-0.4996179016003</c:v>
                </c:pt>
                <c:pt idx="241">
                  <c:v>1.41850118392168</c:v>
                </c:pt>
                <c:pt idx="242">
                  <c:v>1.27437307149139</c:v>
                </c:pt>
                <c:pt idx="243">
                  <c:v>-0.117360046089233</c:v>
                </c:pt>
                <c:pt idx="244">
                  <c:v>-0.149914670004985</c:v>
                </c:pt>
                <c:pt idx="245">
                  <c:v>0.122169290347411</c:v>
                </c:pt>
                <c:pt idx="246">
                  <c:v>0.628745856159154</c:v>
                </c:pt>
                <c:pt idx="247">
                  <c:v>-1.44243678086476</c:v>
                </c:pt>
                <c:pt idx="248">
                  <c:v>1.38708366607183</c:v>
                </c:pt>
                <c:pt idx="249">
                  <c:v>1.122205948255</c:v>
                </c:pt>
                <c:pt idx="250">
                  <c:v>1.35096001332624</c:v>
                </c:pt>
                <c:pt idx="251">
                  <c:v>0.827260337825012</c:v>
                </c:pt>
                <c:pt idx="252">
                  <c:v>-0.23303387327344</c:v>
                </c:pt>
                <c:pt idx="253">
                  <c:v>-1.60920220662148</c:v>
                </c:pt>
                <c:pt idx="254">
                  <c:v>1.4849421529946</c:v>
                </c:pt>
                <c:pt idx="255">
                  <c:v>1.00421842276323</c:v>
                </c:pt>
                <c:pt idx="256">
                  <c:v>0.443256295759825</c:v>
                </c:pt>
                <c:pt idx="257">
                  <c:v>1.45419893745205</c:v>
                </c:pt>
                <c:pt idx="258">
                  <c:v>0.277000077138529</c:v>
                </c:pt>
                <c:pt idx="259">
                  <c:v>-0.443293804308418</c:v>
                </c:pt>
                <c:pt idx="260">
                  <c:v>-0.393473343215881</c:v>
                </c:pt>
                <c:pt idx="261">
                  <c:v>-0.191174405198187</c:v>
                </c:pt>
                <c:pt idx="262">
                  <c:v>-0.353455721100782</c:v>
                </c:pt>
                <c:pt idx="263">
                  <c:v>1.06116526335598</c:v>
                </c:pt>
                <c:pt idx="264">
                  <c:v>0.651768889344769</c:v>
                </c:pt>
                <c:pt idx="265">
                  <c:v>-0.8761879545892</c:v>
                </c:pt>
                <c:pt idx="266">
                  <c:v>1.02111444854877</c:v>
                </c:pt>
                <c:pt idx="267">
                  <c:v>0.334557008467279</c:v>
                </c:pt>
                <c:pt idx="268">
                  <c:v>-0.316082248334662</c:v>
                </c:pt>
                <c:pt idx="269">
                  <c:v>-0.258100286989966</c:v>
                </c:pt>
                <c:pt idx="270">
                  <c:v>-1.06598086773769</c:v>
                </c:pt>
                <c:pt idx="271">
                  <c:v>1.3253325983093</c:v>
                </c:pt>
                <c:pt idx="272">
                  <c:v>0.224202596561664</c:v>
                </c:pt>
                <c:pt idx="273">
                  <c:v>1.14279908324802</c:v>
                </c:pt>
                <c:pt idx="274">
                  <c:v>-2.0248685713245</c:v>
                </c:pt>
                <c:pt idx="275">
                  <c:v>1.17005153135473</c:v>
                </c:pt>
                <c:pt idx="276">
                  <c:v>-0.287802360450088</c:v>
                </c:pt>
                <c:pt idx="277">
                  <c:v>0.199960321527193</c:v>
                </c:pt>
                <c:pt idx="278">
                  <c:v>-0.426324956409526</c:v>
                </c:pt>
                <c:pt idx="279">
                  <c:v>-0.949975615022154</c:v>
                </c:pt>
                <c:pt idx="280">
                  <c:v>0.237983588430806</c:v>
                </c:pt>
                <c:pt idx="281">
                  <c:v>-1.70979376863908</c:v>
                </c:pt>
                <c:pt idx="282">
                  <c:v>-0.232061836535805</c:v>
                </c:pt>
                <c:pt idx="283">
                  <c:v>-0.043160138403625</c:v>
                </c:pt>
                <c:pt idx="284">
                  <c:v>0.917416216413473</c:v>
                </c:pt>
                <c:pt idx="285">
                  <c:v>0.949656729592185</c:v>
                </c:pt>
                <c:pt idx="286">
                  <c:v>-0.287087987867334</c:v>
                </c:pt>
                <c:pt idx="287">
                  <c:v>-1.44877581621427</c:v>
                </c:pt>
                <c:pt idx="288">
                  <c:v>1.61534391213677</c:v>
                </c:pt>
                <c:pt idx="289">
                  <c:v>-0.259842596755539</c:v>
                </c:pt>
                <c:pt idx="290">
                  <c:v>1.85291514113879</c:v>
                </c:pt>
                <c:pt idx="291">
                  <c:v>0.620569173008791</c:v>
                </c:pt>
                <c:pt idx="292">
                  <c:v>-1.12248178042609</c:v>
                </c:pt>
                <c:pt idx="293">
                  <c:v>0.65365817657854</c:v>
                </c:pt>
                <c:pt idx="294">
                  <c:v>0.639469983466189</c:v>
                </c:pt>
                <c:pt idx="295">
                  <c:v>1.26870057651046</c:v>
                </c:pt>
                <c:pt idx="296">
                  <c:v>1.91388221371282</c:v>
                </c:pt>
                <c:pt idx="297">
                  <c:v>1.9817755142504</c:v>
                </c:pt>
                <c:pt idx="298">
                  <c:v>-0.306230186954377</c:v>
                </c:pt>
                <c:pt idx="299">
                  <c:v>2.01224530785613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Random Walk</a:t>
            </a:r>
            <a:endParaRPr/>
          </a:p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yi = 1 + yi-1 + εi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'RW 1'!$C$3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'RW 1'!$C$4:$C$23</c:f>
              <c:numCache>
                <c:formatCode>General</c:formatCode>
                <c:ptCount val="20"/>
                <c:pt idx="0">
                  <c:v>1.52844538994784</c:v>
                </c:pt>
                <c:pt idx="1">
                  <c:v>1.98750935410296</c:v>
                </c:pt>
                <c:pt idx="2">
                  <c:v>4.1892608098697</c:v>
                </c:pt>
                <c:pt idx="3">
                  <c:v>4.97948963165976</c:v>
                </c:pt>
                <c:pt idx="4">
                  <c:v>6.10356087584649</c:v>
                </c:pt>
                <c:pt idx="5">
                  <c:v>7.41180986763432</c:v>
                </c:pt>
                <c:pt idx="6">
                  <c:v>7.92615213537989</c:v>
                </c:pt>
                <c:pt idx="7">
                  <c:v>8.52934220457945</c:v>
                </c:pt>
                <c:pt idx="8">
                  <c:v>9.55078141584892</c:v>
                </c:pt>
                <c:pt idx="9">
                  <c:v>10.1490445067722</c:v>
                </c:pt>
                <c:pt idx="10">
                  <c:v>11.0305705462364</c:v>
                </c:pt>
                <c:pt idx="11">
                  <c:v>12.7932137095862</c:v>
                </c:pt>
                <c:pt idx="12">
                  <c:v>14.9409550331091</c:v>
                </c:pt>
                <c:pt idx="13">
                  <c:v>15.6754440841917</c:v>
                </c:pt>
                <c:pt idx="14">
                  <c:v>16.2680691348261</c:v>
                </c:pt>
                <c:pt idx="15">
                  <c:v>16.7198454798188</c:v>
                </c:pt>
                <c:pt idx="16">
                  <c:v>17.5320898626596</c:v>
                </c:pt>
                <c:pt idx="17">
                  <c:v>18.7489579233836</c:v>
                </c:pt>
                <c:pt idx="18">
                  <c:v>19.3982106207918</c:v>
                </c:pt>
                <c:pt idx="19">
                  <c:v>19.5097489547365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Correlogram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'RW 1'!$F$3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'RW 1'!$F$4:$F$10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First Differences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'RW 1a'!$C$5:$C$23</c:f>
              <c:numCache>
                <c:formatCode>General</c:formatCode>
                <c:ptCount val="19"/>
                <c:pt idx="0">
                  <c:v>0.45906396415512</c:v>
                </c:pt>
                <c:pt idx="1">
                  <c:v>2.20175145576675</c:v>
                </c:pt>
                <c:pt idx="2">
                  <c:v>0.79022882179005</c:v>
                </c:pt>
                <c:pt idx="3">
                  <c:v>1.12407124418673</c:v>
                </c:pt>
                <c:pt idx="4">
                  <c:v>1.30824899178784</c:v>
                </c:pt>
                <c:pt idx="5">
                  <c:v>0.514342267745571</c:v>
                </c:pt>
                <c:pt idx="6">
                  <c:v>0.603190069199561</c:v>
                </c:pt>
                <c:pt idx="7">
                  <c:v>1.02143921126947</c:v>
                </c:pt>
                <c:pt idx="8">
                  <c:v>0.59826309092327</c:v>
                </c:pt>
                <c:pt idx="9">
                  <c:v>0.881526039464101</c:v>
                </c:pt>
                <c:pt idx="10">
                  <c:v>1.7626431633499</c:v>
                </c:pt>
                <c:pt idx="11">
                  <c:v>2.1477413235228</c:v>
                </c:pt>
                <c:pt idx="12">
                  <c:v>0.734489051082699</c:v>
                </c:pt>
                <c:pt idx="13">
                  <c:v>0.5926250506344</c:v>
                </c:pt>
                <c:pt idx="14">
                  <c:v>0.451776344992702</c:v>
                </c:pt>
                <c:pt idx="15">
                  <c:v>0.812244382840799</c:v>
                </c:pt>
                <c:pt idx="16">
                  <c:v>1.216868060724</c:v>
                </c:pt>
                <c:pt idx="17">
                  <c:v>0.649252697408301</c:v>
                </c:pt>
                <c:pt idx="18">
                  <c:v>0.111538333944601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ACF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'RW 1a'!$F$3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'RW 1a'!$F$4:$F$10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Deterministic Trend</a:t>
            </a:r>
            <a:endParaRPr/>
          </a:p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yi = i + εi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'DT 1'!$C$3</c:f>
              <c:strCache>
                <c:ptCount val="1"/>
                <c:pt idx="0">
                  <c:v>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'DT 1'!$C$4:$C$23</c:f>
              <c:numCache>
                <c:formatCode>General</c:formatCode>
                <c:ptCount val="20"/>
                <c:pt idx="0">
                  <c:v>1.92105927438598</c:v>
                </c:pt>
                <c:pt idx="1">
                  <c:v>1.86158017827166</c:v>
                </c:pt>
                <c:pt idx="2">
                  <c:v>4.17814518232385</c:v>
                </c:pt>
                <c:pt idx="3">
                  <c:v>4.27578308724764</c:v>
                </c:pt>
                <c:pt idx="4">
                  <c:v>5.74754161736527</c:v>
                </c:pt>
                <c:pt idx="5">
                  <c:v>7.21790085324282</c:v>
                </c:pt>
                <c:pt idx="6">
                  <c:v>6.3106033514814</c:v>
                </c:pt>
                <c:pt idx="7">
                  <c:v>7.09353399640711</c:v>
                </c:pt>
                <c:pt idx="8">
                  <c:v>9.98723265084049</c:v>
                </c:pt>
                <c:pt idx="9">
                  <c:v>10.1139274153737</c:v>
                </c:pt>
                <c:pt idx="10">
                  <c:v>13.2363176677074</c:v>
                </c:pt>
                <c:pt idx="11">
                  <c:v>12.3586753482253</c:v>
                </c:pt>
                <c:pt idx="12">
                  <c:v>12.485774992893</c:v>
                </c:pt>
                <c:pt idx="13">
                  <c:v>15.338980981223</c:v>
                </c:pt>
                <c:pt idx="14">
                  <c:v>13.911833658422</c:v>
                </c:pt>
                <c:pt idx="15">
                  <c:v>17.1414849550298</c:v>
                </c:pt>
                <c:pt idx="16">
                  <c:v>16.1853369651812</c:v>
                </c:pt>
                <c:pt idx="17">
                  <c:v>20.1576336919028</c:v>
                </c:pt>
                <c:pt idx="18">
                  <c:v>18.6934477722301</c:v>
                </c:pt>
                <c:pt idx="19">
                  <c:v>19.8893515314407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Correlogram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'DT 1'!$F$3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'DT 1'!$F$4:$F$10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Detrending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'DT 1a'!$C$5:$C$23</c:f>
              <c:numCache>
                <c:formatCode>General</c:formatCode>
                <c:ptCount val="19"/>
                <c:pt idx="0">
                  <c:v>-0.138419821728336</c:v>
                </c:pt>
                <c:pt idx="1">
                  <c:v>1.17814518232385</c:v>
                </c:pt>
                <c:pt idx="2">
                  <c:v>0.275783087247635</c:v>
                </c:pt>
                <c:pt idx="3">
                  <c:v>0.747541617365265</c:v>
                </c:pt>
                <c:pt idx="4">
                  <c:v>1.21790085324282</c:v>
                </c:pt>
                <c:pt idx="5">
                  <c:v>-0.689396648518599</c:v>
                </c:pt>
                <c:pt idx="6">
                  <c:v>-0.906466003592892</c:v>
                </c:pt>
                <c:pt idx="7">
                  <c:v>0.98723265084049</c:v>
                </c:pt>
                <c:pt idx="8">
                  <c:v>0.113927415373697</c:v>
                </c:pt>
                <c:pt idx="9">
                  <c:v>2.23631766770741</c:v>
                </c:pt>
                <c:pt idx="10">
                  <c:v>0.358675348225342</c:v>
                </c:pt>
                <c:pt idx="11">
                  <c:v>-0.514225007107029</c:v>
                </c:pt>
                <c:pt idx="12">
                  <c:v>1.33898098122302</c:v>
                </c:pt>
                <c:pt idx="13">
                  <c:v>-1.08816634157796</c:v>
                </c:pt>
                <c:pt idx="14">
                  <c:v>1.14148495502976</c:v>
                </c:pt>
                <c:pt idx="15">
                  <c:v>-0.814663034818843</c:v>
                </c:pt>
                <c:pt idx="16">
                  <c:v>2.1576336919028</c:v>
                </c:pt>
                <c:pt idx="17">
                  <c:v>-0.306552227769927</c:v>
                </c:pt>
                <c:pt idx="18">
                  <c:v>-0.110648468559265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ACF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'DT 1a'!$F$3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'DT 1a'!$F$4:$F$10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Daily Winnings/Losses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'DF 0'!$B$4:$B$28</c:f>
              <c:numCache>
                <c:formatCode>General</c:formatCode>
                <c:ptCount val="25"/>
                <c:pt idx="0">
                  <c:v>50</c:v>
                </c:pt>
                <c:pt idx="1">
                  <c:v>120.83</c:v>
                </c:pt>
                <c:pt idx="2">
                  <c:v>-25.43</c:v>
                </c:pt>
                <c:pt idx="3">
                  <c:v>31.72</c:v>
                </c:pt>
                <c:pt idx="4">
                  <c:v>94.79</c:v>
                </c:pt>
                <c:pt idx="5">
                  <c:v>61.06</c:v>
                </c:pt>
                <c:pt idx="6">
                  <c:v>87.51</c:v>
                </c:pt>
                <c:pt idx="7">
                  <c:v>-65.88</c:v>
                </c:pt>
                <c:pt idx="8">
                  <c:v>30.4</c:v>
                </c:pt>
                <c:pt idx="9">
                  <c:v>65.49</c:v>
                </c:pt>
                <c:pt idx="10">
                  <c:v>15.13</c:v>
                </c:pt>
                <c:pt idx="11">
                  <c:v>8.23</c:v>
                </c:pt>
                <c:pt idx="12">
                  <c:v>-18.71</c:v>
                </c:pt>
                <c:pt idx="13">
                  <c:v>-29.79</c:v>
                </c:pt>
                <c:pt idx="14">
                  <c:v>-97</c:v>
                </c:pt>
                <c:pt idx="15">
                  <c:v>42.43</c:v>
                </c:pt>
                <c:pt idx="16">
                  <c:v>258.7</c:v>
                </c:pt>
                <c:pt idx="17">
                  <c:v>6.83</c:v>
                </c:pt>
                <c:pt idx="18">
                  <c:v>45.63</c:v>
                </c:pt>
                <c:pt idx="19">
                  <c:v>-56.41</c:v>
                </c:pt>
                <c:pt idx="20">
                  <c:v>-101.23</c:v>
                </c:pt>
                <c:pt idx="21">
                  <c:v>-143.21</c:v>
                </c:pt>
                <c:pt idx="22">
                  <c:v>-286.78</c:v>
                </c:pt>
                <c:pt idx="23">
                  <c:v>-197.79</c:v>
                </c:pt>
                <c:pt idx="24">
                  <c:v>-236.75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-300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_-[$$-409]* #,##0_-;\-[$$-409]* #,##0_-;_-[$$-409]* &quot;-&quot;_-;_-@_-" sourceLinked="0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Time Series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>ADF!$A$3:$A$22</c:f>
              <c:numCache>
                <c:formatCode>General</c:formatCode>
                <c:ptCount val="20"/>
                <c:pt idx="0">
                  <c:v>2.19541123622298</c:v>
                </c:pt>
                <c:pt idx="1">
                  <c:v>1.55648930138296</c:v>
                </c:pt>
                <c:pt idx="2">
                  <c:v>1.61660804459426</c:v>
                </c:pt>
                <c:pt idx="3">
                  <c:v>1.43549332425241</c:v>
                </c:pt>
                <c:pt idx="4">
                  <c:v>1.47231704937586</c:v>
                </c:pt>
                <c:pt idx="5">
                  <c:v>1.32457</c:v>
                </c:pt>
                <c:pt idx="6">
                  <c:v>2.61010026426215</c:v>
                </c:pt>
                <c:pt idx="7">
                  <c:v>1.87396727095929</c:v>
                </c:pt>
                <c:pt idx="8">
                  <c:v>3.00067585227758</c:v>
                </c:pt>
                <c:pt idx="9">
                  <c:v>2.16062535133825</c:v>
                </c:pt>
                <c:pt idx="10">
                  <c:v>2.15650135654512</c:v>
                </c:pt>
                <c:pt idx="11">
                  <c:v>2.96296438416184</c:v>
                </c:pt>
                <c:pt idx="12">
                  <c:v>2.12507091409305</c:v>
                </c:pt>
                <c:pt idx="13">
                  <c:v>2.98970802345392</c:v>
                </c:pt>
                <c:pt idx="14">
                  <c:v>3.25459251267091</c:v>
                </c:pt>
                <c:pt idx="15">
                  <c:v>3.7153992070882</c:v>
                </c:pt>
                <c:pt idx="16">
                  <c:v>2.92075172900195</c:v>
                </c:pt>
                <c:pt idx="17">
                  <c:v>2.3942977519625</c:v>
                </c:pt>
                <c:pt idx="18">
                  <c:v>2.22440104663297</c:v>
                </c:pt>
                <c:pt idx="19">
                  <c:v>3.52581760720179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1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0.0" sourceLinked="0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Spline Interpolation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scatterChart>
        <c:scatterStyle val="smoothMarker"/>
        <c:varyColors val="0"/>
        <c:ser>
          <c:idx val="0"/>
          <c:order val="0"/>
          <c:spPr bwMode="auto">
            <a:prstGeom prst="rect">
              <a:avLst/>
            </a:prstGeom>
            <a:ln w="19050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dPt>
            <c:idx val="5"/>
            <c:invertIfNegative val="0"/>
            <c:marker>
              <c:symbol val="circle"/>
              <c:size val="5"/>
              <c:spPr bwMode="auto">
                <a:prstGeom prst="rect">
                  <a:avLst/>
                </a:prstGeom>
                <a:solidFill>
                  <a:srgbClr val="FF0000"/>
                </a:solidFill>
                <a:ln>
                  <a:solidFill>
                    <a:srgbClr val="5B9BD5"/>
                  </a:solidFill>
                </a:ln>
              </c:spPr>
            </c:marker>
            <c:spPr bwMode="auto">
              <a:prstGeom prst="rect">
                <a:avLst/>
              </a:prstGeom>
              <a:ln w="19050">
                <a:solidFill>
                  <a:srgbClr val="5B9BD5"/>
                </a:solidFill>
              </a:ln>
            </c:spPr>
          </c:dPt>
          <c:dPt>
            <c:idx val="6"/>
            <c:invertIfNegative val="0"/>
            <c:marker>
              <c:symbol val="circle"/>
              <c:size val="5"/>
              <c:spPr bwMode="auto">
                <a:prstGeom prst="rect">
                  <a:avLst/>
                </a:prstGeom>
                <a:solidFill>
                  <a:srgbClr val="FF0000"/>
                </a:solidFill>
                <a:ln>
                  <a:solidFill>
                    <a:srgbClr val="5B9BD5"/>
                  </a:solidFill>
                </a:ln>
              </c:spPr>
            </c:marker>
            <c:spPr bwMode="auto">
              <a:prstGeom prst="rect">
                <a:avLst/>
              </a:prstGeom>
              <a:ln w="19050">
                <a:solidFill>
                  <a:srgbClr val="5B9BD5"/>
                </a:solidFill>
              </a:ln>
            </c:spPr>
          </c:dPt>
          <c:dPt>
            <c:idx val="11"/>
            <c:invertIfNegative val="0"/>
            <c:marker>
              <c:symbol val="circle"/>
              <c:size val="5"/>
              <c:spPr bwMode="auto">
                <a:prstGeom prst="rect">
                  <a:avLst/>
                </a:prstGeom>
                <a:solidFill>
                  <a:srgbClr val="FF0000"/>
                </a:solidFill>
                <a:ln>
                  <a:solidFill>
                    <a:srgbClr val="5B9BD5"/>
                  </a:solidFill>
                </a:ln>
              </c:spPr>
            </c:marker>
            <c:spPr bwMode="auto">
              <a:prstGeom prst="rect">
                <a:avLst/>
              </a:prstGeom>
              <a:ln w="19050">
                <a:solidFill>
                  <a:srgbClr val="5B9BD5"/>
                </a:solidFill>
              </a:ln>
            </c:spPr>
          </c:dPt>
          <c:dPt>
            <c:idx val="14"/>
            <c:invertIfNegative val="0"/>
            <c:marker>
              <c:symbol val="circle"/>
              <c:size val="5"/>
              <c:spPr bwMode="auto">
                <a:prstGeom prst="rect">
                  <a:avLst/>
                </a:prstGeom>
                <a:solidFill>
                  <a:srgbClr val="FF0000"/>
                </a:solidFill>
                <a:ln>
                  <a:solidFill>
                    <a:srgbClr val="5B9BD5"/>
                  </a:solidFill>
                </a:ln>
              </c:spPr>
            </c:marker>
            <c:spPr bwMode="auto">
              <a:prstGeom prst="rect">
                <a:avLst/>
              </a:prstGeom>
              <a:ln w="19050">
                <a:solidFill>
                  <a:srgbClr val="5B9BD5"/>
                </a:solidFill>
              </a:ln>
            </c:spPr>
          </c:dPt>
          <c:xVal>
            <c:numRef>
              <c:f xml:space="preserve">'Missing 1'!$R$4:$R$18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 xml:space="preserve">'Missing 1'!$S$4:$S$18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  <c:smooth val="1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axId val="10"/>
        <c:axId val="11"/>
      </c:scatterChart>
      <c:valAx>
        <c:axId val="10"/>
        <c:scaling>
          <c:orientation val="minMax"/>
        </c:scaling>
        <c:delete val="0"/>
        <c:axPos val="b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BFBFBF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crossBetween val="between"/>
      </c:val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BFBFBF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yi = 5 + .4yi-1 + εi  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'AR 1'!$C$4:$C$103</c:f>
              <c:numCache>
                <c:formatCode>General</c:formatCode>
                <c:ptCount val="100"/>
                <c:pt idx="0">
                  <c:v>4.30214750519808</c:v>
                </c:pt>
                <c:pt idx="1">
                  <c:v>6.14301491109313</c:v>
                </c:pt>
                <c:pt idx="2">
                  <c:v>6.34595726748937</c:v>
                </c:pt>
                <c:pt idx="3">
                  <c:v>6.97804931529299</c:v>
                </c:pt>
                <c:pt idx="4">
                  <c:v>9.44775370145085</c:v>
                </c:pt>
                <c:pt idx="5">
                  <c:v>8.36425224466962</c:v>
                </c:pt>
                <c:pt idx="6">
                  <c:v>7.07076968958455</c:v>
                </c:pt>
                <c:pt idx="7">
                  <c:v>7.02237249311026</c:v>
                </c:pt>
                <c:pt idx="8">
                  <c:v>7.62940743980528</c:v>
                </c:pt>
                <c:pt idx="9">
                  <c:v>7.451741177194</c:v>
                </c:pt>
                <c:pt idx="10">
                  <c:v>7.31306313134047</c:v>
                </c:pt>
                <c:pt idx="11">
                  <c:v>6.73695118710695</c:v>
                </c:pt>
                <c:pt idx="12">
                  <c:v>7.63541748762578</c:v>
                </c:pt>
                <c:pt idx="13">
                  <c:v>8.33425600766159</c:v>
                </c:pt>
                <c:pt idx="14">
                  <c:v>8.51417763861009</c:v>
                </c:pt>
                <c:pt idx="15">
                  <c:v>9.4761147740464</c:v>
                </c:pt>
                <c:pt idx="16">
                  <c:v>8.44972279678602</c:v>
                </c:pt>
                <c:pt idx="17">
                  <c:v>9.50446321941213</c:v>
                </c:pt>
                <c:pt idx="18">
                  <c:v>6.66760107525255</c:v>
                </c:pt>
                <c:pt idx="19">
                  <c:v>7.85231564148067</c:v>
                </c:pt>
                <c:pt idx="20">
                  <c:v>7.91886241716497</c:v>
                </c:pt>
                <c:pt idx="21">
                  <c:v>8.77258613123201</c:v>
                </c:pt>
                <c:pt idx="22">
                  <c:v>10.9180973478191</c:v>
                </c:pt>
                <c:pt idx="23">
                  <c:v>9.13938203651079</c:v>
                </c:pt>
                <c:pt idx="24">
                  <c:v>10.1490569023916</c:v>
                </c:pt>
                <c:pt idx="25">
                  <c:v>9.77311683914388</c:v>
                </c:pt>
                <c:pt idx="26">
                  <c:v>8.14400330128839</c:v>
                </c:pt>
                <c:pt idx="27">
                  <c:v>6.83850037642535</c:v>
                </c:pt>
                <c:pt idx="28">
                  <c:v>9.20943713694495</c:v>
                </c:pt>
                <c:pt idx="29">
                  <c:v>8.83714855207231</c:v>
                </c:pt>
                <c:pt idx="30">
                  <c:v>7.62092946295354</c:v>
                </c:pt>
                <c:pt idx="31">
                  <c:v>7.79015799945141</c:v>
                </c:pt>
                <c:pt idx="32">
                  <c:v>7.61945196831445</c:v>
                </c:pt>
                <c:pt idx="33">
                  <c:v>9.12790088104931</c:v>
                </c:pt>
                <c:pt idx="34">
                  <c:v>9.27885761977192</c:v>
                </c:pt>
                <c:pt idx="35">
                  <c:v>8.664359153299</c:v>
                </c:pt>
                <c:pt idx="36">
                  <c:v>9.72553134640833</c:v>
                </c:pt>
                <c:pt idx="37">
                  <c:v>11.4067709858848</c:v>
                </c:pt>
                <c:pt idx="38">
                  <c:v>9.83366198184058</c:v>
                </c:pt>
                <c:pt idx="39">
                  <c:v>8.46203752175126</c:v>
                </c:pt>
                <c:pt idx="40">
                  <c:v>7.03383287488214</c:v>
                </c:pt>
                <c:pt idx="41">
                  <c:v>7.28829957367845</c:v>
                </c:pt>
                <c:pt idx="42">
                  <c:v>8.88667540566506</c:v>
                </c:pt>
                <c:pt idx="43">
                  <c:v>7.47982004661406</c:v>
                </c:pt>
                <c:pt idx="44">
                  <c:v>9.76573836662251</c:v>
                </c:pt>
                <c:pt idx="45">
                  <c:v>7.9447003666966</c:v>
                </c:pt>
                <c:pt idx="46">
                  <c:v>6.82908325546275</c:v>
                </c:pt>
                <c:pt idx="47">
                  <c:v>7.92097905221655</c:v>
                </c:pt>
                <c:pt idx="48">
                  <c:v>5.9511980566404</c:v>
                </c:pt>
                <c:pt idx="49">
                  <c:v>7.22436337924115</c:v>
                </c:pt>
                <c:pt idx="50">
                  <c:v>8.03849872302822</c:v>
                </c:pt>
                <c:pt idx="51">
                  <c:v>7.73995292785977</c:v>
                </c:pt>
                <c:pt idx="52">
                  <c:v>8.9551761475346</c:v>
                </c:pt>
                <c:pt idx="53">
                  <c:v>9.90668671089617</c:v>
                </c:pt>
                <c:pt idx="54">
                  <c:v>10.1666038105048</c:v>
                </c:pt>
                <c:pt idx="55">
                  <c:v>9.11660111659129</c:v>
                </c:pt>
                <c:pt idx="56">
                  <c:v>7.49853740403702</c:v>
                </c:pt>
                <c:pt idx="57">
                  <c:v>6.69945395176409</c:v>
                </c:pt>
                <c:pt idx="58">
                  <c:v>9.98892272876815</c:v>
                </c:pt>
                <c:pt idx="59">
                  <c:v>8.56795064176312</c:v>
                </c:pt>
                <c:pt idx="60">
                  <c:v>11.1406570121865</c:v>
                </c:pt>
                <c:pt idx="61">
                  <c:v>10.8618158460617</c:v>
                </c:pt>
                <c:pt idx="62">
                  <c:v>6.94762932560762</c:v>
                </c:pt>
                <c:pt idx="63">
                  <c:v>6.38083495180515</c:v>
                </c:pt>
                <c:pt idx="64">
                  <c:v>9.07267934462896</c:v>
                </c:pt>
                <c:pt idx="65">
                  <c:v>6.83237838351781</c:v>
                </c:pt>
                <c:pt idx="66">
                  <c:v>7.34958118680465</c:v>
                </c:pt>
                <c:pt idx="67">
                  <c:v>8.66357307688357</c:v>
                </c:pt>
                <c:pt idx="68">
                  <c:v>8.61993521669668</c:v>
                </c:pt>
                <c:pt idx="69">
                  <c:v>9.08293497181336</c:v>
                </c:pt>
                <c:pt idx="70">
                  <c:v>9.17965979177697</c:v>
                </c:pt>
                <c:pt idx="71">
                  <c:v>6.84858970035144</c:v>
                </c:pt>
                <c:pt idx="72">
                  <c:v>7.75018606841939</c:v>
                </c:pt>
                <c:pt idx="73">
                  <c:v>8.83315196558027</c:v>
                </c:pt>
                <c:pt idx="74">
                  <c:v>9.37109549366378</c:v>
                </c:pt>
                <c:pt idx="75">
                  <c:v>8.65283447638825</c:v>
                </c:pt>
                <c:pt idx="76">
                  <c:v>9.25646588688783</c:v>
                </c:pt>
                <c:pt idx="77">
                  <c:v>9.651396884744</c:v>
                </c:pt>
                <c:pt idx="78">
                  <c:v>6.65136325856012</c:v>
                </c:pt>
                <c:pt idx="79">
                  <c:v>8.24483002002355</c:v>
                </c:pt>
                <c:pt idx="80">
                  <c:v>6.04135914218432</c:v>
                </c:pt>
                <c:pt idx="81">
                  <c:v>7.64936274081846</c:v>
                </c:pt>
                <c:pt idx="82">
                  <c:v>8.55498543160478</c:v>
                </c:pt>
                <c:pt idx="83">
                  <c:v>9.31649550644724</c:v>
                </c:pt>
                <c:pt idx="84">
                  <c:v>9.38803795899821</c:v>
                </c:pt>
                <c:pt idx="85">
                  <c:v>8.81841474050821</c:v>
                </c:pt>
                <c:pt idx="86">
                  <c:v>8.90990867363218</c:v>
                </c:pt>
                <c:pt idx="87">
                  <c:v>8.49665099725424</c:v>
                </c:pt>
                <c:pt idx="88">
                  <c:v>9.59576228805108</c:v>
                </c:pt>
                <c:pt idx="89">
                  <c:v>9.43410424965871</c:v>
                </c:pt>
                <c:pt idx="90">
                  <c:v>8.35497403119305</c:v>
                </c:pt>
                <c:pt idx="91">
                  <c:v>8.83748664367089</c:v>
                </c:pt>
                <c:pt idx="92">
                  <c:v>7.80300508019463</c:v>
                </c:pt>
                <c:pt idx="93">
                  <c:v>6.43213262696629</c:v>
                </c:pt>
                <c:pt idx="94">
                  <c:v>8.20703818311348</c:v>
                </c:pt>
                <c:pt idx="95">
                  <c:v>6.89350115287246</c:v>
                </c:pt>
                <c:pt idx="96">
                  <c:v>6.58135765538192</c:v>
                </c:pt>
                <c:pt idx="97">
                  <c:v>6.72311355101723</c:v>
                </c:pt>
                <c:pt idx="98">
                  <c:v>5.60310244965791</c:v>
                </c:pt>
                <c:pt idx="99">
                  <c:v>8.24984352055937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tickLblSkip val="10"/>
        <c:tickMarkSkip val="10"/>
        <c:noMultiLvlLbl val="0"/>
      </c:catAx>
      <c:valAx>
        <c:axId val="11"/>
        <c:scaling>
          <c:orientation val="minMax"/>
          <c:min val="4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ACF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1'!$F$5:$F$19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 1'!$G$5:$G$19</c:f>
              <c:numCache>
                <c:formatCode>General</c:formatCode>
                <c:ptCount val="15"/>
                <c:pt idx="0">
                  <c:v>0.4</c:v>
                </c:pt>
                <c:pt idx="1">
                  <c:v>0.16</c:v>
                </c:pt>
                <c:pt idx="2">
                  <c:v>0.064</c:v>
                </c:pt>
                <c:pt idx="3">
                  <c:v>0.0256</c:v>
                </c:pt>
                <c:pt idx="4">
                  <c:v>0.01024</c:v>
                </c:pt>
                <c:pt idx="5">
                  <c:v>0.004096</c:v>
                </c:pt>
                <c:pt idx="6">
                  <c:v>0.0016384</c:v>
                </c:pt>
                <c:pt idx="7">
                  <c:v>0.00065536</c:v>
                </c:pt>
                <c:pt idx="8">
                  <c:v>0.000262144</c:v>
                </c:pt>
                <c:pt idx="9">
                  <c:v>0.0001048576</c:v>
                </c:pt>
                <c:pt idx="10">
                  <c:v>0.00004194304</c:v>
                </c:pt>
                <c:pt idx="11">
                  <c:v>0.000016777216</c:v>
                </c:pt>
                <c:pt idx="12">
                  <c:v>0.000006710886400000004</c:v>
                </c:pt>
                <c:pt idx="13">
                  <c:v>0.000002684354560000002</c:v>
                </c:pt>
                <c:pt idx="14">
                  <c:v>0.000001073741824000001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PACF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>Actual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1a'!$F$6:$F$20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>Theoretical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 1a'!$G$6:$G$20</c:f>
              <c:numCache>
                <c:formatCode>General</c:formatCode>
                <c:ptCount val="15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AR(1)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'AR 1b'!$K$3</c:f>
              <c:strCache>
                <c:ptCount val="1"/>
                <c:pt idx="0">
                  <c:v xml:space="preserve">Act 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1b'!$K$4:$K$103</c:f>
              <c:numCache>
                <c:formatCode>General</c:formatCode>
                <c:ptCount val="100"/>
                <c:pt idx="0">
                  <c:v>4.30214750519808</c:v>
                </c:pt>
                <c:pt idx="1">
                  <c:v>6.14301491109313</c:v>
                </c:pt>
                <c:pt idx="2">
                  <c:v>6.34595726748937</c:v>
                </c:pt>
                <c:pt idx="3">
                  <c:v>6.97804931529299</c:v>
                </c:pt>
                <c:pt idx="4">
                  <c:v>9.44775370145085</c:v>
                </c:pt>
                <c:pt idx="5">
                  <c:v>8.36425224466962</c:v>
                </c:pt>
                <c:pt idx="6">
                  <c:v>7.07076968958455</c:v>
                </c:pt>
                <c:pt idx="7">
                  <c:v>7.02237249311026</c:v>
                </c:pt>
                <c:pt idx="8">
                  <c:v>7.62940743980528</c:v>
                </c:pt>
                <c:pt idx="9">
                  <c:v>7.451741177194</c:v>
                </c:pt>
                <c:pt idx="10">
                  <c:v>7.31306313134047</c:v>
                </c:pt>
                <c:pt idx="11">
                  <c:v>6.73695118710695</c:v>
                </c:pt>
                <c:pt idx="12">
                  <c:v>7.63541748762578</c:v>
                </c:pt>
                <c:pt idx="13">
                  <c:v>8.3342560076616</c:v>
                </c:pt>
                <c:pt idx="14">
                  <c:v>8.51417763861009</c:v>
                </c:pt>
                <c:pt idx="15">
                  <c:v>9.47611477404639</c:v>
                </c:pt>
                <c:pt idx="16">
                  <c:v>8.44972279678602</c:v>
                </c:pt>
                <c:pt idx="17">
                  <c:v>9.50446321941213</c:v>
                </c:pt>
                <c:pt idx="18">
                  <c:v>6.66760107525255</c:v>
                </c:pt>
                <c:pt idx="19">
                  <c:v>7.85231564148067</c:v>
                </c:pt>
                <c:pt idx="20">
                  <c:v>7.91886241716497</c:v>
                </c:pt>
                <c:pt idx="21">
                  <c:v>8.77258613123201</c:v>
                </c:pt>
                <c:pt idx="22">
                  <c:v>10.9180973478191</c:v>
                </c:pt>
                <c:pt idx="23">
                  <c:v>9.1393820365108</c:v>
                </c:pt>
                <c:pt idx="24">
                  <c:v>10.1490569023916</c:v>
                </c:pt>
                <c:pt idx="25">
                  <c:v>9.77311683914387</c:v>
                </c:pt>
                <c:pt idx="26">
                  <c:v>8.14400330128839</c:v>
                </c:pt>
                <c:pt idx="27">
                  <c:v>6.83850037642534</c:v>
                </c:pt>
                <c:pt idx="28">
                  <c:v>9.20943713694495</c:v>
                </c:pt>
                <c:pt idx="29">
                  <c:v>8.8371485520723</c:v>
                </c:pt>
                <c:pt idx="30">
                  <c:v>7.62092946295353</c:v>
                </c:pt>
                <c:pt idx="31">
                  <c:v>7.7901579994514</c:v>
                </c:pt>
                <c:pt idx="32">
                  <c:v>7.61945196831445</c:v>
                </c:pt>
                <c:pt idx="33">
                  <c:v>9.1279008810493</c:v>
                </c:pt>
                <c:pt idx="34">
                  <c:v>9.27885761977192</c:v>
                </c:pt>
                <c:pt idx="35">
                  <c:v>8.66435915329899</c:v>
                </c:pt>
                <c:pt idx="36">
                  <c:v>9.72553134640833</c:v>
                </c:pt>
                <c:pt idx="37">
                  <c:v>11.4067709858848</c:v>
                </c:pt>
                <c:pt idx="38">
                  <c:v>9.83366198184058</c:v>
                </c:pt>
                <c:pt idx="39">
                  <c:v>8.46203752175126</c:v>
                </c:pt>
                <c:pt idx="40">
                  <c:v>7.03383287488214</c:v>
                </c:pt>
                <c:pt idx="41">
                  <c:v>7.28829957367844</c:v>
                </c:pt>
                <c:pt idx="42">
                  <c:v>8.88667540566505</c:v>
                </c:pt>
                <c:pt idx="43">
                  <c:v>7.47982004661406</c:v>
                </c:pt>
                <c:pt idx="44">
                  <c:v>9.76573836662252</c:v>
                </c:pt>
                <c:pt idx="45">
                  <c:v>7.94470036669659</c:v>
                </c:pt>
                <c:pt idx="46">
                  <c:v>6.82908325546275</c:v>
                </c:pt>
                <c:pt idx="47">
                  <c:v>7.92097905221655</c:v>
                </c:pt>
                <c:pt idx="48">
                  <c:v>5.95119805664041</c:v>
                </c:pt>
                <c:pt idx="49">
                  <c:v>7.22436337924115</c:v>
                </c:pt>
                <c:pt idx="50">
                  <c:v>8.03849872302822</c:v>
                </c:pt>
                <c:pt idx="51">
                  <c:v>7.73995292785976</c:v>
                </c:pt>
                <c:pt idx="52">
                  <c:v>8.95517614753459</c:v>
                </c:pt>
                <c:pt idx="53">
                  <c:v>9.90668671089617</c:v>
                </c:pt>
                <c:pt idx="54">
                  <c:v>10.1666038105048</c:v>
                </c:pt>
                <c:pt idx="55">
                  <c:v>9.11660111659127</c:v>
                </c:pt>
                <c:pt idx="56">
                  <c:v>7.49853740403701</c:v>
                </c:pt>
                <c:pt idx="57">
                  <c:v>6.69945395176409</c:v>
                </c:pt>
                <c:pt idx="58">
                  <c:v>9.98892272876814</c:v>
                </c:pt>
                <c:pt idx="59">
                  <c:v>8.56795064176312</c:v>
                </c:pt>
                <c:pt idx="60">
                  <c:v>11.1406570121865</c:v>
                </c:pt>
                <c:pt idx="61">
                  <c:v>10.8618158460617</c:v>
                </c:pt>
                <c:pt idx="62">
                  <c:v>6.9476293256076</c:v>
                </c:pt>
                <c:pt idx="63">
                  <c:v>6.38083495180515</c:v>
                </c:pt>
                <c:pt idx="64">
                  <c:v>9.07267934462896</c:v>
                </c:pt>
                <c:pt idx="65">
                  <c:v>6.83237838351782</c:v>
                </c:pt>
                <c:pt idx="66">
                  <c:v>7.34958118680465</c:v>
                </c:pt>
                <c:pt idx="67">
                  <c:v>8.66357307688357</c:v>
                </c:pt>
                <c:pt idx="68">
                  <c:v>8.61993521669667</c:v>
                </c:pt>
                <c:pt idx="69">
                  <c:v>9.08293497181336</c:v>
                </c:pt>
                <c:pt idx="70">
                  <c:v>9.17965979177697</c:v>
                </c:pt>
                <c:pt idx="71">
                  <c:v>6.84858970035144</c:v>
                </c:pt>
                <c:pt idx="72">
                  <c:v>7.75018606841938</c:v>
                </c:pt>
                <c:pt idx="73">
                  <c:v>8.83315196558026</c:v>
                </c:pt>
                <c:pt idx="74">
                  <c:v>9.37109549366377</c:v>
                </c:pt>
                <c:pt idx="75">
                  <c:v>8.65283447638824</c:v>
                </c:pt>
                <c:pt idx="76">
                  <c:v>9.25646588688783</c:v>
                </c:pt>
                <c:pt idx="77">
                  <c:v>9.651396884744</c:v>
                </c:pt>
                <c:pt idx="78">
                  <c:v>6.65136325856013</c:v>
                </c:pt>
                <c:pt idx="79">
                  <c:v>8.24483002002355</c:v>
                </c:pt>
                <c:pt idx="80">
                  <c:v>6.04135914218432</c:v>
                </c:pt>
                <c:pt idx="81">
                  <c:v>7.64936274081846</c:v>
                </c:pt>
                <c:pt idx="82">
                  <c:v>8.55498543160478</c:v>
                </c:pt>
                <c:pt idx="83">
                  <c:v>9.31649550644724</c:v>
                </c:pt>
                <c:pt idx="84">
                  <c:v>9.38803795899821</c:v>
                </c:pt>
                <c:pt idx="85">
                  <c:v>8.81841474050821</c:v>
                </c:pt>
                <c:pt idx="86">
                  <c:v>8.90990867363218</c:v>
                </c:pt>
                <c:pt idx="87">
                  <c:v>8.49665099725424</c:v>
                </c:pt>
                <c:pt idx="88">
                  <c:v>9.59576228805108</c:v>
                </c:pt>
                <c:pt idx="89">
                  <c:v>9.43410424965871</c:v>
                </c:pt>
                <c:pt idx="90">
                  <c:v>8.35497403119305</c:v>
                </c:pt>
                <c:pt idx="91">
                  <c:v>8.83748664367089</c:v>
                </c:pt>
                <c:pt idx="92">
                  <c:v>7.80300508019463</c:v>
                </c:pt>
                <c:pt idx="93">
                  <c:v>6.4321326269663</c:v>
                </c:pt>
                <c:pt idx="94">
                  <c:v>8.20703818311348</c:v>
                </c:pt>
                <c:pt idx="95">
                  <c:v>6.89350115287246</c:v>
                </c:pt>
                <c:pt idx="96">
                  <c:v>6.58135765538192</c:v>
                </c:pt>
                <c:pt idx="97">
                  <c:v>6.72311355101723</c:v>
                </c:pt>
                <c:pt idx="98">
                  <c:v>5.60310244965792</c:v>
                </c:pt>
                <c:pt idx="99">
                  <c:v>8.24984352055938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'AR 1b'!$L$3</c:f>
              <c:strCache>
                <c:ptCount val="1"/>
                <c:pt idx="0">
                  <c:v xml:space="preserve">Pred 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 1b'!$L$4:$L$103</c:f>
              <c:numCache>
                <c:formatCode>General</c:formatCode>
                <c:ptCount val="100"/>
                <c:pt idx="0">
                  <c:v>0</c:v>
                </c:pt>
                <c:pt idx="1">
                  <c:v>6.71919705403498</c:v>
                </c:pt>
                <c:pt idx="2">
                  <c:v>7.44519375994039</c:v>
                </c:pt>
                <c:pt idx="3">
                  <c:v>7.52522966136411</c:v>
                </c:pt>
                <c:pt idx="4">
                  <c:v>7.77451254999851</c:v>
                </c:pt>
                <c:pt idx="5">
                  <c:v>8.74850841910293</c:v>
                </c:pt>
                <c:pt idx="6">
                  <c:v>8.32119981124346</c:v>
                </c:pt>
                <c:pt idx="7">
                  <c:v>7.81107938044509</c:v>
                </c:pt>
                <c:pt idx="8">
                  <c:v>7.79199261455262</c:v>
                </c:pt>
                <c:pt idx="9">
                  <c:v>8.03139354601502</c:v>
                </c:pt>
                <c:pt idx="10">
                  <c:v>7.96132596754997</c:v>
                </c:pt>
                <c:pt idx="11">
                  <c:v>7.90663446497425</c:v>
                </c:pt>
                <c:pt idx="12">
                  <c:v>7.67942887026009</c:v>
                </c:pt>
                <c:pt idx="13">
                  <c:v>8.0337637737164</c:v>
                </c:pt>
                <c:pt idx="14">
                  <c:v>8.30936996994819</c:v>
                </c:pt>
                <c:pt idx="15">
                  <c:v>8.38032701496481</c:v>
                </c:pt>
                <c:pt idx="16">
                  <c:v>8.75969338832688</c:v>
                </c:pt>
                <c:pt idx="17">
                  <c:v>8.35490747486427</c:v>
                </c:pt>
                <c:pt idx="18">
                  <c:v>8.77087337765536</c:v>
                </c:pt>
                <c:pt idx="19">
                  <c:v>7.65207874574855</c:v>
                </c:pt>
                <c:pt idx="20">
                  <c:v>8.11930352780806</c:v>
                </c:pt>
                <c:pt idx="21">
                  <c:v>8.1455480795779</c:v>
                </c:pt>
                <c:pt idx="22">
                  <c:v>8.48223751314666</c:v>
                </c:pt>
                <c:pt idx="23">
                  <c:v>9.32837888690194</c:v>
                </c:pt>
                <c:pt idx="24">
                  <c:v>8.62689356937279</c:v>
                </c:pt>
                <c:pt idx="25">
                  <c:v>9.02508663005579</c:v>
                </c:pt>
                <c:pt idx="26">
                  <c:v>8.87682432356827</c:v>
                </c:pt>
                <c:pt idx="27">
                  <c:v>8.23433858111799</c:v>
                </c:pt>
                <c:pt idx="28">
                  <c:v>7.7194775868034</c:v>
                </c:pt>
                <c:pt idx="29">
                  <c:v>8.6545217255258</c:v>
                </c:pt>
                <c:pt idx="30">
                  <c:v>8.50769947999188</c:v>
                </c:pt>
                <c:pt idx="31">
                  <c:v>8.02805002260459</c:v>
                </c:pt>
                <c:pt idx="32">
                  <c:v>8.09478995164522</c:v>
                </c:pt>
                <c:pt idx="33">
                  <c:v>8.02746733194608</c:v>
                </c:pt>
                <c:pt idx="34">
                  <c:v>8.62236565985669</c:v>
                </c:pt>
                <c:pt idx="35">
                  <c:v>8.68189960276636</c:v>
                </c:pt>
                <c:pt idx="36">
                  <c:v>8.43955522694949</c:v>
                </c:pt>
                <c:pt idx="37">
                  <c:v>8.85805767537608</c:v>
                </c:pt>
                <c:pt idx="38">
                  <c:v>9.52110078004992</c:v>
                </c:pt>
                <c:pt idx="39">
                  <c:v>8.90070196625759</c:v>
                </c:pt>
                <c:pt idx="40">
                  <c:v>8.35976412544663</c:v>
                </c:pt>
                <c:pt idx="41">
                  <c:v>7.79651233139271</c:v>
                </c:pt>
                <c:pt idx="42">
                  <c:v>7.89686827473613</c:v>
                </c:pt>
                <c:pt idx="43">
                  <c:v>8.52723175724718</c:v>
                </c:pt>
                <c:pt idx="44">
                  <c:v>7.97239964218793</c:v>
                </c:pt>
                <c:pt idx="45">
                  <c:v>8.87391441993916</c:v>
                </c:pt>
                <c:pt idx="46">
                  <c:v>8.15573798580756</c:v>
                </c:pt>
                <c:pt idx="47">
                  <c:v>7.71576368607592</c:v>
                </c:pt>
                <c:pt idx="48">
                  <c:v>8.14638283284157</c:v>
                </c:pt>
                <c:pt idx="49">
                  <c:v>7.36954550628352</c:v>
                </c:pt>
                <c:pt idx="50">
                  <c:v>7.87165327750115</c:v>
                </c:pt>
                <c:pt idx="51">
                  <c:v>8.19272994812816</c:v>
                </c:pt>
                <c:pt idx="52">
                  <c:v>8.07499020046349</c:v>
                </c:pt>
                <c:pt idx="53">
                  <c:v>8.55424690933804</c:v>
                </c:pt>
                <c:pt idx="54">
                  <c:v>8.92950127715539</c:v>
                </c:pt>
                <c:pt idx="55">
                  <c:v>9.03200673600595</c:v>
                </c:pt>
                <c:pt idx="56">
                  <c:v>8.61790928687307</c:v>
                </c:pt>
                <c:pt idx="57">
                  <c:v>7.97978134702381</c:v>
                </c:pt>
                <c:pt idx="58">
                  <c:v>7.66464080391033</c:v>
                </c:pt>
                <c:pt idx="59">
                  <c:v>8.96193331321113</c:v>
                </c:pt>
                <c:pt idx="60">
                  <c:v>8.4015338781157</c:v>
                </c:pt>
                <c:pt idx="61">
                  <c:v>9.41615141341889</c:v>
                </c:pt>
                <c:pt idx="62">
                  <c:v>9.3061827283147</c:v>
                </c:pt>
                <c:pt idx="63">
                  <c:v>7.76251559017699</c:v>
                </c:pt>
                <c:pt idx="64">
                  <c:v>7.53898463569946</c:v>
                </c:pt>
                <c:pt idx="65">
                  <c:v>8.60058752776101</c:v>
                </c:pt>
                <c:pt idx="66">
                  <c:v>7.71706321047722</c:v>
                </c:pt>
                <c:pt idx="67">
                  <c:v>7.92103636480048</c:v>
                </c:pt>
                <c:pt idx="68">
                  <c:v>8.43924521608919</c:v>
                </c:pt>
                <c:pt idx="69">
                  <c:v>8.4220354253965</c:v>
                </c:pt>
                <c:pt idx="70">
                  <c:v>8.60463211648534</c:v>
                </c:pt>
                <c:pt idx="71">
                  <c:v>8.64277821024962</c:v>
                </c:pt>
                <c:pt idx="72">
                  <c:v>7.72345658926262</c:v>
                </c:pt>
                <c:pt idx="73">
                  <c:v>8.0790259209687</c:v>
                </c:pt>
                <c:pt idx="74">
                  <c:v>8.50612331615802</c:v>
                </c:pt>
                <c:pt idx="75">
                  <c:v>8.71827614590616</c:v>
                </c:pt>
                <c:pt idx="76">
                  <c:v>8.43501015355255</c:v>
                </c:pt>
                <c:pt idx="77">
                  <c:v>8.67306880688106</c:v>
                </c:pt>
                <c:pt idx="78">
                  <c:v>8.82882071089401</c:v>
                </c:pt>
                <c:pt idx="79">
                  <c:v>7.64567491601478</c:v>
                </c:pt>
                <c:pt idx="80">
                  <c:v>8.27410237151081</c:v>
                </c:pt>
                <c:pt idx="81">
                  <c:v>7.40510301080347</c:v>
                </c:pt>
                <c:pt idx="82">
                  <c:v>8.03926346796297</c:v>
                </c:pt>
                <c:pt idx="83">
                  <c:v>8.39642069080184</c:v>
                </c:pt>
                <c:pt idx="84">
                  <c:v>8.69674313883855</c:v>
                </c:pt>
                <c:pt idx="85">
                  <c:v>8.72495787321762</c:v>
                </c:pt>
                <c:pt idx="86">
                  <c:v>8.50031128601276</c:v>
                </c:pt>
                <c:pt idx="87">
                  <c:v>8.53639443564408</c:v>
                </c:pt>
                <c:pt idx="88">
                  <c:v>8.37341490176797</c:v>
                </c:pt>
                <c:pt idx="89">
                  <c:v>8.80687967711607</c:v>
                </c:pt>
                <c:pt idx="90">
                  <c:v>8.7431253822765</c:v>
                </c:pt>
                <c:pt idx="91">
                  <c:v>8.3175406925046</c:v>
                </c:pt>
                <c:pt idx="92">
                  <c:v>8.50783281571507</c:v>
                </c:pt>
                <c:pt idx="93">
                  <c:v>8.09985655137436</c:v>
                </c:pt>
                <c:pt idx="94">
                  <c:v>7.55921528515761</c:v>
                </c:pt>
                <c:pt idx="95">
                  <c:v>8.2591981209282</c:v>
                </c:pt>
                <c:pt idx="96">
                  <c:v>7.74116865613027</c:v>
                </c:pt>
                <c:pt idx="97">
                  <c:v>7.61806628046637</c:v>
                </c:pt>
                <c:pt idx="98">
                  <c:v>7.67397161777874</c:v>
                </c:pt>
                <c:pt idx="99">
                  <c:v>7.23226442715737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4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yi = 5 + .4yi-1 -.1yi-2+ εi  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'AR 2'!$C$4:$C$103</c:f>
              <c:numCache>
                <c:formatCode>General</c:formatCode>
                <c:ptCount val="100"/>
                <c:pt idx="0">
                  <c:v>4.52675746985975</c:v>
                </c:pt>
                <c:pt idx="1">
                  <c:v>6.8933707775125</c:v>
                </c:pt>
                <c:pt idx="2">
                  <c:v>8.42539511756758</c:v>
                </c:pt>
                <c:pt idx="3">
                  <c:v>6.999502086989</c:v>
                </c:pt>
                <c:pt idx="4">
                  <c:v>6.18759416163008</c:v>
                </c:pt>
                <c:pt idx="5">
                  <c:v>5.81297647087982</c:v>
                </c:pt>
                <c:pt idx="6">
                  <c:v>7.12007268751884</c:v>
                </c:pt>
                <c:pt idx="7">
                  <c:v>8.50191493327411</c:v>
                </c:pt>
                <c:pt idx="8">
                  <c:v>7.30122210518206</c:v>
                </c:pt>
                <c:pt idx="9">
                  <c:v>6.03887682938327</c:v>
                </c:pt>
                <c:pt idx="10">
                  <c:v>4.74608968913779</c:v>
                </c:pt>
                <c:pt idx="11">
                  <c:v>6.65367671835884</c:v>
                </c:pt>
                <c:pt idx="12">
                  <c:v>8.19397591948696</c:v>
                </c:pt>
                <c:pt idx="13">
                  <c:v>7.56026353346935</c:v>
                </c:pt>
                <c:pt idx="14">
                  <c:v>6.79445129713621</c:v>
                </c:pt>
                <c:pt idx="15">
                  <c:v>4.72446653515839</c:v>
                </c:pt>
                <c:pt idx="16">
                  <c:v>6.02715512653858</c:v>
                </c:pt>
                <c:pt idx="17">
                  <c:v>7.12591002586209</c:v>
                </c:pt>
                <c:pt idx="18">
                  <c:v>7.19124782949215</c:v>
                </c:pt>
                <c:pt idx="19">
                  <c:v>6.68269163834499</c:v>
                </c:pt>
                <c:pt idx="20">
                  <c:v>6.5721571230019</c:v>
                </c:pt>
                <c:pt idx="21">
                  <c:v>6.75273891350248</c:v>
                </c:pt>
                <c:pt idx="22">
                  <c:v>5.64740005354448</c:v>
                </c:pt>
                <c:pt idx="23">
                  <c:v>6.47736900419631</c:v>
                </c:pt>
                <c:pt idx="24">
                  <c:v>7.29037373841736</c:v>
                </c:pt>
                <c:pt idx="25">
                  <c:v>7.83050669816534</c:v>
                </c:pt>
                <c:pt idx="26">
                  <c:v>7.75268295821347</c:v>
                </c:pt>
                <c:pt idx="27">
                  <c:v>5.89837923213193</c:v>
                </c:pt>
                <c:pt idx="28">
                  <c:v>6.99701022257362</c:v>
                </c:pt>
                <c:pt idx="29">
                  <c:v>7.56703616912327</c:v>
                </c:pt>
                <c:pt idx="30">
                  <c:v>5.93258239752092</c:v>
                </c:pt>
                <c:pt idx="31">
                  <c:v>6.27167398451003</c:v>
                </c:pt>
                <c:pt idx="32">
                  <c:v>7.59273739598701</c:v>
                </c:pt>
                <c:pt idx="33">
                  <c:v>7.07720591380764</c:v>
                </c:pt>
                <c:pt idx="34">
                  <c:v>7.23354116035429</c:v>
                </c:pt>
                <c:pt idx="35">
                  <c:v>9.2815947650948</c:v>
                </c:pt>
                <c:pt idx="36">
                  <c:v>8.12615509286443</c:v>
                </c:pt>
                <c:pt idx="37">
                  <c:v>7.47394294186758</c:v>
                </c:pt>
                <c:pt idx="38">
                  <c:v>5.84828420638274</c:v>
                </c:pt>
                <c:pt idx="39">
                  <c:v>4.90874102221139</c:v>
                </c:pt>
                <c:pt idx="40">
                  <c:v>8.55600098836841</c:v>
                </c:pt>
                <c:pt idx="41">
                  <c:v>8.77453091333894</c:v>
                </c:pt>
                <c:pt idx="42">
                  <c:v>7.53767755688764</c:v>
                </c:pt>
                <c:pt idx="43">
                  <c:v>8.27113576925609</c:v>
                </c:pt>
                <c:pt idx="44">
                  <c:v>9.61609244003612</c:v>
                </c:pt>
                <c:pt idx="45">
                  <c:v>9.11994922507032</c:v>
                </c:pt>
                <c:pt idx="46">
                  <c:v>7.57393995778027</c:v>
                </c:pt>
                <c:pt idx="47">
                  <c:v>8.01726105195114</c:v>
                </c:pt>
                <c:pt idx="48">
                  <c:v>6.71796854129034</c:v>
                </c:pt>
                <c:pt idx="49">
                  <c:v>7.63144764830084</c:v>
                </c:pt>
                <c:pt idx="50">
                  <c:v>6.95435729529143</c:v>
                </c:pt>
                <c:pt idx="51">
                  <c:v>6.6084855817594</c:v>
                </c:pt>
                <c:pt idx="52">
                  <c:v>6.45012308056559</c:v>
                </c:pt>
                <c:pt idx="53">
                  <c:v>7.68791190276497</c:v>
                </c:pt>
                <c:pt idx="54">
                  <c:v>5.79361824599415</c:v>
                </c:pt>
                <c:pt idx="55">
                  <c:v>6.55996864460294</c:v>
                </c:pt>
                <c:pt idx="56">
                  <c:v>8.0502499924422</c:v>
                </c:pt>
                <c:pt idx="57">
                  <c:v>6.11606422852349</c:v>
                </c:pt>
                <c:pt idx="58">
                  <c:v>6.7128853872972</c:v>
                </c:pt>
                <c:pt idx="59">
                  <c:v>6.97276915770606</c:v>
                </c:pt>
                <c:pt idx="60">
                  <c:v>5.39218195397731</c:v>
                </c:pt>
                <c:pt idx="61">
                  <c:v>5.27970358332002</c:v>
                </c:pt>
                <c:pt idx="62">
                  <c:v>7.46980513047917</c:v>
                </c:pt>
                <c:pt idx="63">
                  <c:v>5.3546264732198</c:v>
                </c:pt>
                <c:pt idx="64">
                  <c:v>7.38626300488807</c:v>
                </c:pt>
                <c:pt idx="65">
                  <c:v>8.91699286698232</c:v>
                </c:pt>
                <c:pt idx="66">
                  <c:v>8.03000894685343</c:v>
                </c:pt>
                <c:pt idx="67">
                  <c:v>8.21514431321947</c:v>
                </c:pt>
                <c:pt idx="68">
                  <c:v>6.48214854559783</c:v>
                </c:pt>
                <c:pt idx="69">
                  <c:v>8.62699947168569</c:v>
                </c:pt>
                <c:pt idx="70">
                  <c:v>9.29404319377251</c:v>
                </c:pt>
                <c:pt idx="71">
                  <c:v>8.41378932294576</c:v>
                </c:pt>
                <c:pt idx="72">
                  <c:v>9.66172634276427</c:v>
                </c:pt>
                <c:pt idx="73">
                  <c:v>8.3537099682961</c:v>
                </c:pt>
                <c:pt idx="74">
                  <c:v>7.01271646870254</c:v>
                </c:pt>
                <c:pt idx="75">
                  <c:v>8.95157752355679</c:v>
                </c:pt>
                <c:pt idx="76">
                  <c:v>7.78710598027114</c:v>
                </c:pt>
                <c:pt idx="77">
                  <c:v>5.99144618834674</c:v>
                </c:pt>
                <c:pt idx="78">
                  <c:v>6.04710134419169</c:v>
                </c:pt>
                <c:pt idx="79">
                  <c:v>6.19940212672824</c:v>
                </c:pt>
                <c:pt idx="80">
                  <c:v>7.77024609007727</c:v>
                </c:pt>
                <c:pt idx="81">
                  <c:v>6.83487196002077</c:v>
                </c:pt>
                <c:pt idx="82">
                  <c:v>7.32872749910721</c:v>
                </c:pt>
                <c:pt idx="83">
                  <c:v>6.81928520193707</c:v>
                </c:pt>
                <c:pt idx="84">
                  <c:v>6.42678905221167</c:v>
                </c:pt>
                <c:pt idx="85">
                  <c:v>5.55550762265547</c:v>
                </c:pt>
                <c:pt idx="86">
                  <c:v>6.37900769891319</c:v>
                </c:pt>
                <c:pt idx="87">
                  <c:v>6.84686838138339</c:v>
                </c:pt>
                <c:pt idx="88">
                  <c:v>6.52978390370319</c:v>
                </c:pt>
                <c:pt idx="89">
                  <c:v>6.97222072720418</c:v>
                </c:pt>
                <c:pt idx="90">
                  <c:v>7.92099063376111</c:v>
                </c:pt>
                <c:pt idx="91">
                  <c:v>7.74823528541081</c:v>
                </c:pt>
                <c:pt idx="92">
                  <c:v>6.90198923634806</c:v>
                </c:pt>
                <c:pt idx="93">
                  <c:v>5.24377380800776</c:v>
                </c:pt>
                <c:pt idx="94">
                  <c:v>5.98851808517567</c:v>
                </c:pt>
                <c:pt idx="95">
                  <c:v>5.92360837652002</c:v>
                </c:pt>
                <c:pt idx="96">
                  <c:v>7.51680057518271</c:v>
                </c:pt>
                <c:pt idx="97">
                  <c:v>7.86203026633621</c:v>
                </c:pt>
                <c:pt idx="98">
                  <c:v>6.73458522597531</c:v>
                </c:pt>
                <c:pt idx="99">
                  <c:v>8.46584420205649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tickLblSkip val="10"/>
        <c:tickMarkSkip val="10"/>
        <c:noMultiLvlLbl val="0"/>
      </c:catAx>
      <c:valAx>
        <c:axId val="11"/>
        <c:scaling>
          <c:orientation val="minMax"/>
          <c:min val="4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ACF for AR(2)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2'!$F$6:$F$20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 2'!$G$6:$G$20</c:f>
              <c:numCache>
                <c:formatCode>General</c:formatCode>
                <c:ptCount val="15"/>
                <c:pt idx="0">
                  <c:v>0.4</c:v>
                </c:pt>
                <c:pt idx="1">
                  <c:v>0.16</c:v>
                </c:pt>
                <c:pt idx="2">
                  <c:v>0.064</c:v>
                </c:pt>
                <c:pt idx="3">
                  <c:v>0.0256</c:v>
                </c:pt>
                <c:pt idx="4">
                  <c:v>0.01024</c:v>
                </c:pt>
                <c:pt idx="5">
                  <c:v>0.004096</c:v>
                </c:pt>
                <c:pt idx="6">
                  <c:v>0.0016384</c:v>
                </c:pt>
                <c:pt idx="7">
                  <c:v>0.00065536</c:v>
                </c:pt>
                <c:pt idx="8">
                  <c:v>0.000262144</c:v>
                </c:pt>
                <c:pt idx="9">
                  <c:v>0.0001048576</c:v>
                </c:pt>
                <c:pt idx="10">
                  <c:v>0.00004194304</c:v>
                </c:pt>
                <c:pt idx="11">
                  <c:v>0.000016777216</c:v>
                </c:pt>
                <c:pt idx="12">
                  <c:v>0.00000671088640000001</c:v>
                </c:pt>
                <c:pt idx="13">
                  <c:v>0.000002684354560000004</c:v>
                </c:pt>
                <c:pt idx="14">
                  <c:v>0.000001073741824000002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PACF for AR(2)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PACF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2'!$Z$6:$Z$20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PACF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  <a:round/>
            </a:ln>
          </c:spPr>
          <c:marker>
            <c:symbol val="none"/>
          </c:marker>
          <c:val>
            <c:numRef>
              <c:f xml:space="preserve">'AR 2'!$AA$6:$AA$20</c:f>
              <c:numCache>
                <c:formatCode>General</c:formatCode>
                <c:ptCount val="15"/>
                <c:pt idx="0">
                  <c:v>0.4</c:v>
                </c:pt>
                <c:pt idx="1">
                  <c:v>-0.1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PACF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PACF for AR(2)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PACF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2a'!$F$6:$F$20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PACF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 2a'!$G$6:$G$20</c:f>
              <c:numCache>
                <c:formatCode>General</c:formatCode>
                <c:ptCount val="15"/>
                <c:pt idx="0">
                  <c:v>0.4</c:v>
                </c:pt>
                <c:pt idx="1">
                  <c:v>-0.1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PACF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AR(2)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 xml:space="preserve">'AR 2b'!$L$3</c:f>
              <c:strCache>
                <c:ptCount val="1"/>
                <c:pt idx="0">
                  <c:v xml:space="preserve">Act 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 2b'!$L$4:$L$103</c:f>
              <c:numCache>
                <c:formatCode>General</c:formatCode>
                <c:ptCount val="100"/>
                <c:pt idx="0">
                  <c:v>4.52675746985975</c:v>
                </c:pt>
                <c:pt idx="1">
                  <c:v>6.8933707775125</c:v>
                </c:pt>
                <c:pt idx="2">
                  <c:v>8.42539511756758</c:v>
                </c:pt>
                <c:pt idx="3">
                  <c:v>6.999502086989</c:v>
                </c:pt>
                <c:pt idx="4">
                  <c:v>6.18759416163008</c:v>
                </c:pt>
                <c:pt idx="5">
                  <c:v>5.81297647087982</c:v>
                </c:pt>
                <c:pt idx="6">
                  <c:v>7.12007268751884</c:v>
                </c:pt>
                <c:pt idx="7">
                  <c:v>8.50191493327411</c:v>
                </c:pt>
                <c:pt idx="8">
                  <c:v>7.30122210518206</c:v>
                </c:pt>
                <c:pt idx="9">
                  <c:v>6.03887682938327</c:v>
                </c:pt>
                <c:pt idx="10">
                  <c:v>4.74608968913779</c:v>
                </c:pt>
                <c:pt idx="11">
                  <c:v>6.65367671835884</c:v>
                </c:pt>
                <c:pt idx="12">
                  <c:v>8.19397591948696</c:v>
                </c:pt>
                <c:pt idx="13">
                  <c:v>7.56026353346935</c:v>
                </c:pt>
                <c:pt idx="14">
                  <c:v>6.79445129713621</c:v>
                </c:pt>
                <c:pt idx="15">
                  <c:v>4.72446653515839</c:v>
                </c:pt>
                <c:pt idx="16">
                  <c:v>6.02715512653858</c:v>
                </c:pt>
                <c:pt idx="17">
                  <c:v>7.12591002586209</c:v>
                </c:pt>
                <c:pt idx="18">
                  <c:v>7.19124782949215</c:v>
                </c:pt>
                <c:pt idx="19">
                  <c:v>6.68269163834499</c:v>
                </c:pt>
                <c:pt idx="20">
                  <c:v>6.5721571230019</c:v>
                </c:pt>
                <c:pt idx="21">
                  <c:v>6.75273891350248</c:v>
                </c:pt>
                <c:pt idx="22">
                  <c:v>5.64740005354448</c:v>
                </c:pt>
                <c:pt idx="23">
                  <c:v>6.47736900419631</c:v>
                </c:pt>
                <c:pt idx="24">
                  <c:v>7.29037373841736</c:v>
                </c:pt>
                <c:pt idx="25">
                  <c:v>7.83050669816534</c:v>
                </c:pt>
                <c:pt idx="26">
                  <c:v>7.75268295821347</c:v>
                </c:pt>
                <c:pt idx="27">
                  <c:v>5.89837923213193</c:v>
                </c:pt>
                <c:pt idx="28">
                  <c:v>6.99701022257362</c:v>
                </c:pt>
                <c:pt idx="29">
                  <c:v>7.56703616912327</c:v>
                </c:pt>
                <c:pt idx="30">
                  <c:v>5.93258239752092</c:v>
                </c:pt>
                <c:pt idx="31">
                  <c:v>6.27167398451003</c:v>
                </c:pt>
                <c:pt idx="32">
                  <c:v>7.59273739598701</c:v>
                </c:pt>
                <c:pt idx="33">
                  <c:v>7.07720591380764</c:v>
                </c:pt>
                <c:pt idx="34">
                  <c:v>7.23354116035429</c:v>
                </c:pt>
                <c:pt idx="35">
                  <c:v>9.2815947650948</c:v>
                </c:pt>
                <c:pt idx="36">
                  <c:v>8.12615509286443</c:v>
                </c:pt>
                <c:pt idx="37">
                  <c:v>7.47394294186758</c:v>
                </c:pt>
                <c:pt idx="38">
                  <c:v>5.84828420638274</c:v>
                </c:pt>
                <c:pt idx="39">
                  <c:v>4.90874102221139</c:v>
                </c:pt>
                <c:pt idx="40">
                  <c:v>8.55600098836841</c:v>
                </c:pt>
                <c:pt idx="41">
                  <c:v>8.77453091333894</c:v>
                </c:pt>
                <c:pt idx="42">
                  <c:v>7.53767755688764</c:v>
                </c:pt>
                <c:pt idx="43">
                  <c:v>8.27113576925609</c:v>
                </c:pt>
                <c:pt idx="44">
                  <c:v>9.61609244003612</c:v>
                </c:pt>
                <c:pt idx="45">
                  <c:v>9.11994922507032</c:v>
                </c:pt>
                <c:pt idx="46">
                  <c:v>7.57393995778027</c:v>
                </c:pt>
                <c:pt idx="47">
                  <c:v>8.01726105195114</c:v>
                </c:pt>
                <c:pt idx="48">
                  <c:v>6.71796854129034</c:v>
                </c:pt>
                <c:pt idx="49">
                  <c:v>7.63144764830084</c:v>
                </c:pt>
                <c:pt idx="50">
                  <c:v>6.95435729529143</c:v>
                </c:pt>
                <c:pt idx="51">
                  <c:v>6.6084855817594</c:v>
                </c:pt>
                <c:pt idx="52">
                  <c:v>6.45012308056559</c:v>
                </c:pt>
                <c:pt idx="53">
                  <c:v>7.68791190276497</c:v>
                </c:pt>
                <c:pt idx="54">
                  <c:v>5.79361824599415</c:v>
                </c:pt>
                <c:pt idx="55">
                  <c:v>6.55996864460294</c:v>
                </c:pt>
                <c:pt idx="56">
                  <c:v>8.0502499924422</c:v>
                </c:pt>
                <c:pt idx="57">
                  <c:v>6.11606422852349</c:v>
                </c:pt>
                <c:pt idx="58">
                  <c:v>6.7128853872972</c:v>
                </c:pt>
                <c:pt idx="59">
                  <c:v>6.97276915770606</c:v>
                </c:pt>
                <c:pt idx="60">
                  <c:v>5.39218195397731</c:v>
                </c:pt>
                <c:pt idx="61">
                  <c:v>5.27970358332002</c:v>
                </c:pt>
                <c:pt idx="62">
                  <c:v>7.46980513047917</c:v>
                </c:pt>
                <c:pt idx="63">
                  <c:v>5.3546264732198</c:v>
                </c:pt>
                <c:pt idx="64">
                  <c:v>7.38626300488807</c:v>
                </c:pt>
                <c:pt idx="65">
                  <c:v>8.91699286698232</c:v>
                </c:pt>
                <c:pt idx="66">
                  <c:v>8.03000894685343</c:v>
                </c:pt>
                <c:pt idx="67">
                  <c:v>8.21514431321947</c:v>
                </c:pt>
                <c:pt idx="68">
                  <c:v>6.48214854559783</c:v>
                </c:pt>
                <c:pt idx="69">
                  <c:v>8.62699947168569</c:v>
                </c:pt>
                <c:pt idx="70">
                  <c:v>9.29404319377251</c:v>
                </c:pt>
                <c:pt idx="71">
                  <c:v>8.41378932294576</c:v>
                </c:pt>
                <c:pt idx="72">
                  <c:v>9.66172634276427</c:v>
                </c:pt>
                <c:pt idx="73">
                  <c:v>8.3537099682961</c:v>
                </c:pt>
                <c:pt idx="74">
                  <c:v>7.01271646870254</c:v>
                </c:pt>
                <c:pt idx="75">
                  <c:v>8.95157752355679</c:v>
                </c:pt>
                <c:pt idx="76">
                  <c:v>7.78710598027114</c:v>
                </c:pt>
                <c:pt idx="77">
                  <c:v>5.99144618834674</c:v>
                </c:pt>
                <c:pt idx="78">
                  <c:v>6.04710134419169</c:v>
                </c:pt>
                <c:pt idx="79">
                  <c:v>6.19940212672824</c:v>
                </c:pt>
                <c:pt idx="80">
                  <c:v>7.77024609007727</c:v>
                </c:pt>
                <c:pt idx="81">
                  <c:v>6.83487196002077</c:v>
                </c:pt>
                <c:pt idx="82">
                  <c:v>7.32872749910721</c:v>
                </c:pt>
                <c:pt idx="83">
                  <c:v>6.81928520193707</c:v>
                </c:pt>
                <c:pt idx="84">
                  <c:v>6.42678905221167</c:v>
                </c:pt>
                <c:pt idx="85">
                  <c:v>5.55550762265547</c:v>
                </c:pt>
                <c:pt idx="86">
                  <c:v>6.37900769891319</c:v>
                </c:pt>
                <c:pt idx="87">
                  <c:v>6.84686838138339</c:v>
                </c:pt>
                <c:pt idx="88">
                  <c:v>6.52978390370319</c:v>
                </c:pt>
                <c:pt idx="89">
                  <c:v>6.97222072720418</c:v>
                </c:pt>
                <c:pt idx="90">
                  <c:v>7.92099063376111</c:v>
                </c:pt>
                <c:pt idx="91">
                  <c:v>7.74823528541081</c:v>
                </c:pt>
                <c:pt idx="92">
                  <c:v>6.90198923634806</c:v>
                </c:pt>
                <c:pt idx="93">
                  <c:v>5.24377380800776</c:v>
                </c:pt>
                <c:pt idx="94">
                  <c:v>5.98851808517567</c:v>
                </c:pt>
                <c:pt idx="95">
                  <c:v>5.92360837652002</c:v>
                </c:pt>
                <c:pt idx="96">
                  <c:v>7.51680057518271</c:v>
                </c:pt>
                <c:pt idx="97">
                  <c:v>7.86203026633621</c:v>
                </c:pt>
                <c:pt idx="98">
                  <c:v>6.73458522597531</c:v>
                </c:pt>
                <c:pt idx="99">
                  <c:v>8.46584420205649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 xml:space="preserve">'AR 2b'!$M$3</c:f>
              <c:strCache>
                <c:ptCount val="1"/>
                <c:pt idx="0">
                  <c:v xml:space="preserve">Pred 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 2b'!$M$4:$M$103</c:f>
              <c:numCache>
                <c:formatCode>General</c:formatCode>
                <c:ptCount val="100"/>
                <c:pt idx="0">
                  <c:v>0</c:v>
                </c:pt>
                <c:pt idx="1">
                  <c:v>0</c:v>
                </c:pt>
                <c:pt idx="2">
                  <c:v>7.42360694807252</c:v>
                </c:pt>
                <c:pt idx="3">
                  <c:v>7.74419990331075</c:v>
                </c:pt>
                <c:pt idx="4">
                  <c:v>6.85397044890963</c:v>
                </c:pt>
                <c:pt idx="5">
                  <c:v>6.71127766023277</c:v>
                </c:pt>
                <c:pt idx="6">
                  <c:v>6.66984257936972</c:v>
                </c:pt>
                <c:pt idx="7">
                  <c:v>7.32271363773184</c:v>
                </c:pt>
                <c:pt idx="8">
                  <c:v>7.7430187282178</c:v>
                </c:pt>
                <c:pt idx="9">
                  <c:v>6.97884415842007</c:v>
                </c:pt>
                <c:pt idx="10">
                  <c:v>6.5959362493611</c:v>
                </c:pt>
                <c:pt idx="11">
                  <c:v>6.20897602322293</c:v>
                </c:pt>
                <c:pt idx="12">
                  <c:v>7.28001254184563</c:v>
                </c:pt>
                <c:pt idx="13">
                  <c:v>7.67710584761187</c:v>
                </c:pt>
                <c:pt idx="14">
                  <c:v>7.14526523525708</c:v>
                </c:pt>
                <c:pt idx="15">
                  <c:v>6.89796396539199</c:v>
                </c:pt>
                <c:pt idx="16">
                  <c:v>6.07941997097237</c:v>
                </c:pt>
                <c:pt idx="17">
                  <c:v>6.99895873789617</c:v>
                </c:pt>
                <c:pt idx="18">
                  <c:v>7.29142273308977</c:v>
                </c:pt>
                <c:pt idx="19">
                  <c:v>7.14696780347285</c:v>
                </c:pt>
                <c:pt idx="20">
                  <c:v>6.90569684204202</c:v>
                </c:pt>
                <c:pt idx="21">
                  <c:v>6.93609934054547</c:v>
                </c:pt>
                <c:pt idx="22">
                  <c:v>7.03561158975381</c:v>
                </c:pt>
                <c:pt idx="23">
                  <c:v>6.50510050144841</c:v>
                </c:pt>
                <c:pt idx="24">
                  <c:v>7.05712477225286</c:v>
                </c:pt>
                <c:pt idx="25">
                  <c:v>7.29475315733138</c:v>
                </c:pt>
                <c:pt idx="26">
                  <c:v>7.41116883805006</c:v>
                </c:pt>
                <c:pt idx="27">
                  <c:v>7.29023571397113</c:v>
                </c:pt>
                <c:pt idx="28">
                  <c:v>6.46059731503171</c:v>
                </c:pt>
                <c:pt idx="29">
                  <c:v>7.25330149668733</c:v>
                </c:pt>
                <c:pt idx="30">
                  <c:v>7.33802658104661</c:v>
                </c:pt>
                <c:pt idx="31">
                  <c:v>6.50554762797784</c:v>
                </c:pt>
                <c:pt idx="32">
                  <c:v>6.91853264948801</c:v>
                </c:pt>
                <c:pt idx="33">
                  <c:v>7.46464240894291</c:v>
                </c:pt>
                <c:pt idx="34">
                  <c:v>7.02120625366104</c:v>
                </c:pt>
                <c:pt idx="35">
                  <c:v>7.17388991618989</c:v>
                </c:pt>
                <c:pt idx="36">
                  <c:v>8.07906111552337</c:v>
                </c:pt>
                <c:pt idx="37">
                  <c:v>7.22985816809136</c:v>
                </c:pt>
                <c:pt idx="38">
                  <c:v>7.11681795575217</c:v>
                </c:pt>
                <c:pt idx="39">
                  <c:v>6.48202362673873</c:v>
                </c:pt>
                <c:pt idx="40">
                  <c:v>6.31303371731541</c:v>
                </c:pt>
                <c:pt idx="41">
                  <c:v>8.11801246845946</c:v>
                </c:pt>
                <c:pt idx="42">
                  <c:v>7.63924850708016</c:v>
                </c:pt>
                <c:pt idx="43">
                  <c:v>7.04300777325724</c:v>
                </c:pt>
                <c:pt idx="44">
                  <c:v>7.57205148741472</c:v>
                </c:pt>
                <c:pt idx="45">
                  <c:v>8.06651403667713</c:v>
                </c:pt>
                <c:pt idx="46">
                  <c:v>7.6280949581192</c:v>
                </c:pt>
                <c:pt idx="47">
                  <c:v>7.00473389804579</c:v>
                </c:pt>
                <c:pt idx="48">
                  <c:v>7.45102969521419</c:v>
                </c:pt>
                <c:pt idx="49">
                  <c:v>6.79081441381157</c:v>
                </c:pt>
                <c:pt idx="50">
                  <c:v>7.411493903065</c:v>
                </c:pt>
                <c:pt idx="51">
                  <c:v>6.95929069082258</c:v>
                </c:pt>
                <c:pt idx="52">
                  <c:v>6.90954322699756</c:v>
                </c:pt>
                <c:pt idx="53">
                  <c:v>6.89244777601948</c:v>
                </c:pt>
                <c:pt idx="54">
                  <c:v>7.47957838877545</c:v>
                </c:pt>
                <c:pt idx="55">
                  <c:v>6.42329362376547</c:v>
                </c:pt>
                <c:pt idx="56">
                  <c:v>7.07145867811787</c:v>
                </c:pt>
                <c:pt idx="57">
                  <c:v>7.62669532708445</c:v>
                </c:pt>
                <c:pt idx="58">
                  <c:v>6.5122838986552</c:v>
                </c:pt>
                <c:pt idx="59">
                  <c:v>7.08979374390457</c:v>
                </c:pt>
                <c:pt idx="60">
                  <c:v>7.11321769557309</c:v>
                </c:pt>
                <c:pt idx="61">
                  <c:v>6.35434658001434</c:v>
                </c:pt>
                <c:pt idx="62">
                  <c:v>6.55375387428287</c:v>
                </c:pt>
                <c:pt idx="63">
                  <c:v>7.5660233996832</c:v>
                </c:pt>
                <c:pt idx="64">
                  <c:v>6.25852748277075</c:v>
                </c:pt>
                <c:pt idx="65">
                  <c:v>7.51621676681293</c:v>
                </c:pt>
                <c:pt idx="66">
                  <c:v>7.8893065525053</c:v>
                </c:pt>
                <c:pt idx="67">
                  <c:v>7.2439811014903</c:v>
                </c:pt>
                <c:pt idx="68">
                  <c:v>7.46860683685409</c:v>
                </c:pt>
                <c:pt idx="69">
                  <c:v>6.652378147622</c:v>
                </c:pt>
                <c:pt idx="70">
                  <c:v>7.90090846035258</c:v>
                </c:pt>
                <c:pt idx="71">
                  <c:v>7.86388867533682</c:v>
                </c:pt>
                <c:pt idx="72">
                  <c:v>7.35848959032731</c:v>
                </c:pt>
                <c:pt idx="73">
                  <c:v>8.06462805386391</c:v>
                </c:pt>
                <c:pt idx="74">
                  <c:v>7.27294209265007</c:v>
                </c:pt>
                <c:pt idx="75">
                  <c:v>6.87133073950189</c:v>
                </c:pt>
                <c:pt idx="76">
                  <c:v>7.96420702832281</c:v>
                </c:pt>
                <c:pt idx="77">
                  <c:v>7.12820705526588</c:v>
                </c:pt>
                <c:pt idx="78">
                  <c:v>6.4974005047191</c:v>
                </c:pt>
                <c:pt idx="79">
                  <c:v>6.80723415723324</c:v>
                </c:pt>
                <c:pt idx="80">
                  <c:v>6.86756854602295</c:v>
                </c:pt>
                <c:pt idx="81">
                  <c:v>7.55669569896221</c:v>
                </c:pt>
                <c:pt idx="82">
                  <c:v>6.88304104647335</c:v>
                </c:pt>
                <c:pt idx="83">
                  <c:v>7.25551380821026</c:v>
                </c:pt>
                <c:pt idx="84">
                  <c:v>6.94593222388115</c:v>
                </c:pt>
                <c:pt idx="85">
                  <c:v>6.84844670771273</c:v>
                </c:pt>
                <c:pt idx="86">
                  <c:v>6.51502960618418</c:v>
                </c:pt>
                <c:pt idx="87">
                  <c:v>7.02702493340556</c:v>
                </c:pt>
                <c:pt idx="88">
                  <c:v>7.10896120033671</c:v>
                </c:pt>
                <c:pt idx="89">
                  <c:v>6.89084171749387</c:v>
                </c:pt>
                <c:pt idx="90">
                  <c:v>7.14198522231996</c:v>
                </c:pt>
                <c:pt idx="91">
                  <c:v>7.50267277643444</c:v>
                </c:pt>
                <c:pt idx="92">
                  <c:v>7.27387697383345</c:v>
                </c:pt>
                <c:pt idx="93">
                  <c:v>6.91700464746585</c:v>
                </c:pt>
                <c:pt idx="94">
                  <c:v>6.29817655406501</c:v>
                </c:pt>
                <c:pt idx="95">
                  <c:v>6.89911915515671</c:v>
                </c:pt>
                <c:pt idx="96">
                  <c:v>6.75162455315018</c:v>
                </c:pt>
                <c:pt idx="97">
                  <c:v>7.48532110865169</c:v>
                </c:pt>
                <c:pt idx="98">
                  <c:v>7.38960010859185</c:v>
                </c:pt>
                <c:pt idx="99">
                  <c:v>6.82295925084394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4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yi = 4 + εi + .5εi -1 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cat>
            <c:numRef>
              <c:f>MA!$A$5:$A$203</c:f>
              <c:numCache>
                <c:formatCode>General</c:formatCode>
                <c:ptCount val="199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  <c:pt idx="120">
                  <c:v>122</c:v>
                </c:pt>
                <c:pt idx="121">
                  <c:v>123</c:v>
                </c:pt>
                <c:pt idx="122">
                  <c:v>124</c:v>
                </c:pt>
                <c:pt idx="123">
                  <c:v>125</c:v>
                </c:pt>
                <c:pt idx="124">
                  <c:v>126</c:v>
                </c:pt>
                <c:pt idx="125">
                  <c:v>127</c:v>
                </c:pt>
                <c:pt idx="126">
                  <c:v>128</c:v>
                </c:pt>
                <c:pt idx="127">
                  <c:v>129</c:v>
                </c:pt>
                <c:pt idx="128">
                  <c:v>130</c:v>
                </c:pt>
                <c:pt idx="129">
                  <c:v>131</c:v>
                </c:pt>
                <c:pt idx="130">
                  <c:v>132</c:v>
                </c:pt>
                <c:pt idx="131">
                  <c:v>133</c:v>
                </c:pt>
                <c:pt idx="132">
                  <c:v>134</c:v>
                </c:pt>
                <c:pt idx="133">
                  <c:v>135</c:v>
                </c:pt>
                <c:pt idx="134">
                  <c:v>136</c:v>
                </c:pt>
                <c:pt idx="135">
                  <c:v>137</c:v>
                </c:pt>
                <c:pt idx="136">
                  <c:v>138</c:v>
                </c:pt>
                <c:pt idx="137">
                  <c:v>139</c:v>
                </c:pt>
                <c:pt idx="138">
                  <c:v>140</c:v>
                </c:pt>
                <c:pt idx="139">
                  <c:v>141</c:v>
                </c:pt>
                <c:pt idx="140">
                  <c:v>142</c:v>
                </c:pt>
                <c:pt idx="141">
                  <c:v>143</c:v>
                </c:pt>
                <c:pt idx="142">
                  <c:v>144</c:v>
                </c:pt>
                <c:pt idx="143">
                  <c:v>145</c:v>
                </c:pt>
                <c:pt idx="144">
                  <c:v>146</c:v>
                </c:pt>
                <c:pt idx="145">
                  <c:v>147</c:v>
                </c:pt>
                <c:pt idx="146">
                  <c:v>148</c:v>
                </c:pt>
                <c:pt idx="147">
                  <c:v>149</c:v>
                </c:pt>
                <c:pt idx="148">
                  <c:v>150</c:v>
                </c:pt>
                <c:pt idx="149">
                  <c:v>151</c:v>
                </c:pt>
                <c:pt idx="150">
                  <c:v>152</c:v>
                </c:pt>
                <c:pt idx="151">
                  <c:v>153</c:v>
                </c:pt>
                <c:pt idx="152">
                  <c:v>154</c:v>
                </c:pt>
                <c:pt idx="153">
                  <c:v>155</c:v>
                </c:pt>
                <c:pt idx="154">
                  <c:v>156</c:v>
                </c:pt>
                <c:pt idx="155">
                  <c:v>157</c:v>
                </c:pt>
                <c:pt idx="156">
                  <c:v>158</c:v>
                </c:pt>
                <c:pt idx="157">
                  <c:v>159</c:v>
                </c:pt>
                <c:pt idx="158">
                  <c:v>160</c:v>
                </c:pt>
                <c:pt idx="159">
                  <c:v>161</c:v>
                </c:pt>
                <c:pt idx="160">
                  <c:v>162</c:v>
                </c:pt>
                <c:pt idx="161">
                  <c:v>163</c:v>
                </c:pt>
                <c:pt idx="162">
                  <c:v>164</c:v>
                </c:pt>
                <c:pt idx="163">
                  <c:v>165</c:v>
                </c:pt>
                <c:pt idx="164">
                  <c:v>166</c:v>
                </c:pt>
                <c:pt idx="165">
                  <c:v>167</c:v>
                </c:pt>
                <c:pt idx="166">
                  <c:v>168</c:v>
                </c:pt>
                <c:pt idx="167">
                  <c:v>169</c:v>
                </c:pt>
                <c:pt idx="168">
                  <c:v>170</c:v>
                </c:pt>
                <c:pt idx="169">
                  <c:v>171</c:v>
                </c:pt>
                <c:pt idx="170">
                  <c:v>172</c:v>
                </c:pt>
                <c:pt idx="171">
                  <c:v>173</c:v>
                </c:pt>
                <c:pt idx="172">
                  <c:v>174</c:v>
                </c:pt>
                <c:pt idx="173">
                  <c:v>175</c:v>
                </c:pt>
                <c:pt idx="174">
                  <c:v>176</c:v>
                </c:pt>
                <c:pt idx="175">
                  <c:v>177</c:v>
                </c:pt>
                <c:pt idx="176">
                  <c:v>178</c:v>
                </c:pt>
                <c:pt idx="177">
                  <c:v>179</c:v>
                </c:pt>
                <c:pt idx="178">
                  <c:v>180</c:v>
                </c:pt>
                <c:pt idx="179">
                  <c:v>181</c:v>
                </c:pt>
                <c:pt idx="180">
                  <c:v>182</c:v>
                </c:pt>
                <c:pt idx="181">
                  <c:v>183</c:v>
                </c:pt>
                <c:pt idx="182">
                  <c:v>184</c:v>
                </c:pt>
                <c:pt idx="183">
                  <c:v>185</c:v>
                </c:pt>
                <c:pt idx="184">
                  <c:v>186</c:v>
                </c:pt>
                <c:pt idx="185">
                  <c:v>187</c:v>
                </c:pt>
                <c:pt idx="186">
                  <c:v>188</c:v>
                </c:pt>
                <c:pt idx="187">
                  <c:v>189</c:v>
                </c:pt>
                <c:pt idx="188">
                  <c:v>190</c:v>
                </c:pt>
                <c:pt idx="189">
                  <c:v>191</c:v>
                </c:pt>
                <c:pt idx="190">
                  <c:v>192</c:v>
                </c:pt>
                <c:pt idx="191">
                  <c:v>193</c:v>
                </c:pt>
                <c:pt idx="192">
                  <c:v>194</c:v>
                </c:pt>
                <c:pt idx="193">
                  <c:v>195</c:v>
                </c:pt>
                <c:pt idx="194">
                  <c:v>196</c:v>
                </c:pt>
                <c:pt idx="195">
                  <c:v>197</c:v>
                </c:pt>
                <c:pt idx="196">
                  <c:v>198</c:v>
                </c:pt>
                <c:pt idx="197">
                  <c:v>199</c:v>
                </c:pt>
                <c:pt idx="198">
                  <c:v>200</c:v>
                </c:pt>
              </c:numCache>
            </c:numRef>
          </c:cat>
          <c:val>
            <c:numRef>
              <c:f>MA!$C$5:$C$203</c:f>
              <c:numCache>
                <c:formatCode>General</c:formatCode>
                <c:ptCount val="199"/>
                <c:pt idx="0">
                  <c:v>2.77731175836792</c:v>
                </c:pt>
                <c:pt idx="1">
                  <c:v>2.81828479837625</c:v>
                </c:pt>
                <c:pt idx="2">
                  <c:v>6.70084849810247</c:v>
                </c:pt>
                <c:pt idx="3">
                  <c:v>3.59446720444722</c:v>
                </c:pt>
                <c:pt idx="4">
                  <c:v>1.29938102553521</c:v>
                </c:pt>
                <c:pt idx="5">
                  <c:v>5.33166259557628</c:v>
                </c:pt>
                <c:pt idx="6">
                  <c:v>1.47697465758596</c:v>
                </c:pt>
                <c:pt idx="7">
                  <c:v>1.45399493959226</c:v>
                </c:pt>
                <c:pt idx="8">
                  <c:v>1.23575988841889</c:v>
                </c:pt>
                <c:pt idx="9">
                  <c:v>2.05099802792408</c:v>
                </c:pt>
                <c:pt idx="10">
                  <c:v>4.14085601707092</c:v>
                </c:pt>
                <c:pt idx="11">
                  <c:v>6.11565954865911</c:v>
                </c:pt>
                <c:pt idx="12">
                  <c:v>6.78427808774167</c:v>
                </c:pt>
                <c:pt idx="13">
                  <c:v>3.919300353171</c:v>
                </c:pt>
                <c:pt idx="14">
                  <c:v>4.99181363119469</c:v>
                </c:pt>
                <c:pt idx="15">
                  <c:v>4.34762291496653</c:v>
                </c:pt>
                <c:pt idx="16">
                  <c:v>1.63387188756257</c:v>
                </c:pt>
                <c:pt idx="17">
                  <c:v>4.1829808626785</c:v>
                </c:pt>
                <c:pt idx="18">
                  <c:v>6.01333528415357</c:v>
                </c:pt>
                <c:pt idx="19">
                  <c:v>4.0002391870796</c:v>
                </c:pt>
                <c:pt idx="20">
                  <c:v>3.04779597414122</c:v>
                </c:pt>
                <c:pt idx="21">
                  <c:v>4.12958245933076</c:v>
                </c:pt>
                <c:pt idx="22">
                  <c:v>3.43933733047984</c:v>
                </c:pt>
                <c:pt idx="23">
                  <c:v>1.79488460674314</c:v>
                </c:pt>
                <c:pt idx="24">
                  <c:v>5.42795887245554</c:v>
                </c:pt>
                <c:pt idx="25">
                  <c:v>5.70750808951285</c:v>
                </c:pt>
                <c:pt idx="26">
                  <c:v>4.22565417276167</c:v>
                </c:pt>
                <c:pt idx="27">
                  <c:v>6.28373333418938</c:v>
                </c:pt>
                <c:pt idx="28">
                  <c:v>9.57747031150119</c:v>
                </c:pt>
                <c:pt idx="29">
                  <c:v>5.33468327381068</c:v>
                </c:pt>
                <c:pt idx="30">
                  <c:v>3.47178231395987</c:v>
                </c:pt>
                <c:pt idx="31">
                  <c:v>5.26690389320459</c:v>
                </c:pt>
                <c:pt idx="32">
                  <c:v>4.59839707094691</c:v>
                </c:pt>
                <c:pt idx="33">
                  <c:v>3.74124478272114</c:v>
                </c:pt>
                <c:pt idx="34">
                  <c:v>4.46323089933429</c:v>
                </c:pt>
                <c:pt idx="35">
                  <c:v>1.67216617147648</c:v>
                </c:pt>
                <c:pt idx="36">
                  <c:v>0.200946326720352</c:v>
                </c:pt>
                <c:pt idx="37">
                  <c:v>3.34163867426874</c:v>
                </c:pt>
                <c:pt idx="38">
                  <c:v>3.48111743247451</c:v>
                </c:pt>
                <c:pt idx="39">
                  <c:v>5.59762503685244</c:v>
                </c:pt>
                <c:pt idx="40">
                  <c:v>8.8443708747117</c:v>
                </c:pt>
                <c:pt idx="41">
                  <c:v>6.24719774965769</c:v>
                </c:pt>
                <c:pt idx="42">
                  <c:v>5.03306744353618</c:v>
                </c:pt>
                <c:pt idx="43">
                  <c:v>4.06967297749054</c:v>
                </c:pt>
                <c:pt idx="44">
                  <c:v>2.39377617910996</c:v>
                </c:pt>
                <c:pt idx="45">
                  <c:v>5.79285441367996</c:v>
                </c:pt>
                <c:pt idx="46">
                  <c:v>6.24953436004934</c:v>
                </c:pt>
                <c:pt idx="47">
                  <c:v>4.22206886063889</c:v>
                </c:pt>
                <c:pt idx="48">
                  <c:v>5.44734021490404</c:v>
                </c:pt>
                <c:pt idx="49">
                  <c:v>5.00242532351245</c:v>
                </c:pt>
                <c:pt idx="50">
                  <c:v>5.65323011387398</c:v>
                </c:pt>
                <c:pt idx="51">
                  <c:v>3.84594508367826</c:v>
                </c:pt>
                <c:pt idx="52">
                  <c:v>7.46996654376317</c:v>
                </c:pt>
                <c:pt idx="53">
                  <c:v>4.33263247032023</c:v>
                </c:pt>
                <c:pt idx="54">
                  <c:v>2.54797397488005</c:v>
                </c:pt>
                <c:pt idx="55">
                  <c:v>4.70248461858705</c:v>
                </c:pt>
                <c:pt idx="56">
                  <c:v>5.73938845328427</c:v>
                </c:pt>
                <c:pt idx="57">
                  <c:v>7.91348211430715</c:v>
                </c:pt>
                <c:pt idx="58">
                  <c:v>6.29351244300985</c:v>
                </c:pt>
                <c:pt idx="59">
                  <c:v>4.26243082330196</c:v>
                </c:pt>
                <c:pt idx="60">
                  <c:v>7.12649939241597</c:v>
                </c:pt>
                <c:pt idx="61">
                  <c:v>3.27191838093494</c:v>
                </c:pt>
                <c:pt idx="62">
                  <c:v>2.4446913855784</c:v>
                </c:pt>
                <c:pt idx="63">
                  <c:v>3.27131191172111</c:v>
                </c:pt>
                <c:pt idx="64">
                  <c:v>4.64174596645597</c:v>
                </c:pt>
                <c:pt idx="65">
                  <c:v>5.93668633615387</c:v>
                </c:pt>
                <c:pt idx="66">
                  <c:v>4.4816912460606</c:v>
                </c:pt>
                <c:pt idx="67">
                  <c:v>3.83624130103073</c:v>
                </c:pt>
                <c:pt idx="68">
                  <c:v>4.67113367813329</c:v>
                </c:pt>
                <c:pt idx="69">
                  <c:v>8.4802157835254</c:v>
                </c:pt>
                <c:pt idx="70">
                  <c:v>6.52023581800638</c:v>
                </c:pt>
                <c:pt idx="71">
                  <c:v>5.35132037441507</c:v>
                </c:pt>
                <c:pt idx="72">
                  <c:v>6.57583943339261</c:v>
                </c:pt>
                <c:pt idx="73">
                  <c:v>5.98526834423668</c:v>
                </c:pt>
                <c:pt idx="74">
                  <c:v>6.41632545724244</c:v>
                </c:pt>
                <c:pt idx="75">
                  <c:v>2.64546896558412</c:v>
                </c:pt>
                <c:pt idx="76">
                  <c:v>1.92135156344867</c:v>
                </c:pt>
                <c:pt idx="77">
                  <c:v>6.48287540564664</c:v>
                </c:pt>
                <c:pt idx="78">
                  <c:v>6.49072430775119</c:v>
                </c:pt>
                <c:pt idx="79">
                  <c:v>6.19446978954224</c:v>
                </c:pt>
                <c:pt idx="80">
                  <c:v>1.98445418208103</c:v>
                </c:pt>
                <c:pt idx="81">
                  <c:v>-2.04269343599898</c:v>
                </c:pt>
                <c:pt idx="82">
                  <c:v>5.24093558252779</c:v>
                </c:pt>
                <c:pt idx="83">
                  <c:v>6.7524374056234</c:v>
                </c:pt>
                <c:pt idx="84">
                  <c:v>1.65043817464597</c:v>
                </c:pt>
                <c:pt idx="85">
                  <c:v>2.92181661776133</c:v>
                </c:pt>
                <c:pt idx="86">
                  <c:v>5.69530461682133</c:v>
                </c:pt>
                <c:pt idx="87">
                  <c:v>4.92526921977206</c:v>
                </c:pt>
                <c:pt idx="88">
                  <c:v>2.30177614517972</c:v>
                </c:pt>
                <c:pt idx="89">
                  <c:v>1.78727782834742</c:v>
                </c:pt>
                <c:pt idx="90">
                  <c:v>5.41933889183462</c:v>
                </c:pt>
                <c:pt idx="91">
                  <c:v>2.82063420603325</c:v>
                </c:pt>
                <c:pt idx="92">
                  <c:v>3.79621356247592</c:v>
                </c:pt>
                <c:pt idx="93">
                  <c:v>6.1576334108781</c:v>
                </c:pt>
                <c:pt idx="94">
                  <c:v>2.9595894783046</c:v>
                </c:pt>
                <c:pt idx="95">
                  <c:v>0.03460450711796</c:v>
                </c:pt>
                <c:pt idx="96">
                  <c:v>2.10554463957639</c:v>
                </c:pt>
                <c:pt idx="97">
                  <c:v>6.22197707560109</c:v>
                </c:pt>
                <c:pt idx="98">
                  <c:v>3.38045632631936</c:v>
                </c:pt>
                <c:pt idx="99">
                  <c:v>-1.58542157555335</c:v>
                </c:pt>
                <c:pt idx="100">
                  <c:v>0.984283412969346</c:v>
                </c:pt>
                <c:pt idx="101">
                  <c:v>4.68373004200663</c:v>
                </c:pt>
                <c:pt idx="102">
                  <c:v>6.83923693183526</c:v>
                </c:pt>
                <c:pt idx="103">
                  <c:v>6.19534982925158</c:v>
                </c:pt>
                <c:pt idx="104">
                  <c:v>3.26460307238189</c:v>
                </c:pt>
                <c:pt idx="105">
                  <c:v>3.4836130634155</c:v>
                </c:pt>
                <c:pt idx="106">
                  <c:v>6.46170270667649</c:v>
                </c:pt>
                <c:pt idx="107">
                  <c:v>5.73653845404032</c:v>
                </c:pt>
                <c:pt idx="108">
                  <c:v>6.1922565023302</c:v>
                </c:pt>
                <c:pt idx="109">
                  <c:v>5.50318624617777</c:v>
                </c:pt>
                <c:pt idx="110">
                  <c:v>4.1502724521797</c:v>
                </c:pt>
                <c:pt idx="111">
                  <c:v>2.83143602925098</c:v>
                </c:pt>
                <c:pt idx="112">
                  <c:v>2.71489366175231</c:v>
                </c:pt>
                <c:pt idx="113">
                  <c:v>3.37062150001921</c:v>
                </c:pt>
                <c:pt idx="114">
                  <c:v>3.169626947906</c:v>
                </c:pt>
                <c:pt idx="115">
                  <c:v>3.74975119593037</c:v>
                </c:pt>
                <c:pt idx="116">
                  <c:v>5.59213206993279</c:v>
                </c:pt>
                <c:pt idx="117">
                  <c:v>4.79956653964232</c:v>
                </c:pt>
                <c:pt idx="118">
                  <c:v>7.74396997091061</c:v>
                </c:pt>
                <c:pt idx="119">
                  <c:v>5.72916383896291</c:v>
                </c:pt>
                <c:pt idx="120">
                  <c:v>4.21777818071873</c:v>
                </c:pt>
                <c:pt idx="121">
                  <c:v>2.68702042490502</c:v>
                </c:pt>
                <c:pt idx="122">
                  <c:v>2.864248621852</c:v>
                </c:pt>
                <c:pt idx="123">
                  <c:v>5.93043174772795</c:v>
                </c:pt>
                <c:pt idx="124">
                  <c:v>3.51806263537529</c:v>
                </c:pt>
                <c:pt idx="125">
                  <c:v>3.14569266142683</c:v>
                </c:pt>
                <c:pt idx="126">
                  <c:v>4.00402850108252</c:v>
                </c:pt>
                <c:pt idx="127">
                  <c:v>3.7518522285096</c:v>
                </c:pt>
                <c:pt idx="128">
                  <c:v>8.91028315973355</c:v>
                </c:pt>
                <c:pt idx="129">
                  <c:v>7.03319711923947</c:v>
                </c:pt>
                <c:pt idx="130">
                  <c:v>4.87664924230518</c:v>
                </c:pt>
                <c:pt idx="131">
                  <c:v>6.55823025285285</c:v>
                </c:pt>
                <c:pt idx="132">
                  <c:v>4.5036300679225</c:v>
                </c:pt>
                <c:pt idx="133">
                  <c:v>4.24428716293781</c:v>
                </c:pt>
                <c:pt idx="134">
                  <c:v>-0.581583364753853</c:v>
                </c:pt>
                <c:pt idx="135">
                  <c:v>1.32336740729787</c:v>
                </c:pt>
                <c:pt idx="136">
                  <c:v>3.49164640933452</c:v>
                </c:pt>
                <c:pt idx="137">
                  <c:v>1.66426622609007</c:v>
                </c:pt>
                <c:pt idx="138">
                  <c:v>0.098989837633444</c:v>
                </c:pt>
                <c:pt idx="139">
                  <c:v>-2.05532239446292</c:v>
                </c:pt>
                <c:pt idx="140">
                  <c:v>6.08202963260482</c:v>
                </c:pt>
                <c:pt idx="141">
                  <c:v>7.23920354225518</c:v>
                </c:pt>
                <c:pt idx="142">
                  <c:v>1.445690928298</c:v>
                </c:pt>
                <c:pt idx="143">
                  <c:v>1.24922696455379</c:v>
                </c:pt>
                <c:pt idx="144">
                  <c:v>4.28642638543269</c:v>
                </c:pt>
                <c:pt idx="145">
                  <c:v>6.79042126819937</c:v>
                </c:pt>
                <c:pt idx="146">
                  <c:v>8.10435552877854</c:v>
                </c:pt>
                <c:pt idx="147">
                  <c:v>5.60993315080127</c:v>
                </c:pt>
                <c:pt idx="148">
                  <c:v>0.118902461095317</c:v>
                </c:pt>
                <c:pt idx="149">
                  <c:v>7.58484180324766</c:v>
                </c:pt>
                <c:pt idx="150">
                  <c:v>6.68045606331169</c:v>
                </c:pt>
                <c:pt idx="151">
                  <c:v>3.2838330941605</c:v>
                </c:pt>
                <c:pt idx="152">
                  <c:v>1.56882621383261</c:v>
                </c:pt>
                <c:pt idx="153">
                  <c:v>4.1760459134972</c:v>
                </c:pt>
                <c:pt idx="154">
                  <c:v>4.48579469539361</c:v>
                </c:pt>
                <c:pt idx="155">
                  <c:v>5.09362479462878</c:v>
                </c:pt>
                <c:pt idx="156">
                  <c:v>4.98839823450548</c:v>
                </c:pt>
                <c:pt idx="157">
                  <c:v>6.49859962817468</c:v>
                </c:pt>
                <c:pt idx="158">
                  <c:v>7.63253785844037</c:v>
                </c:pt>
                <c:pt idx="159">
                  <c:v>5.93835633816253</c:v>
                </c:pt>
                <c:pt idx="160">
                  <c:v>4.95174193621713</c:v>
                </c:pt>
                <c:pt idx="161">
                  <c:v>5.98543384025848</c:v>
                </c:pt>
                <c:pt idx="162">
                  <c:v>9.33368122300963</c:v>
                </c:pt>
                <c:pt idx="163">
                  <c:v>3.34861446262725</c:v>
                </c:pt>
                <c:pt idx="164">
                  <c:v>2.31435504981933</c:v>
                </c:pt>
                <c:pt idx="165">
                  <c:v>4.62577844189891</c:v>
                </c:pt>
                <c:pt idx="166">
                  <c:v>4.68468830936933</c:v>
                </c:pt>
                <c:pt idx="167">
                  <c:v>5.86801503212087</c:v>
                </c:pt>
                <c:pt idx="168">
                  <c:v>6.26509703896705</c:v>
                </c:pt>
                <c:pt idx="169">
                  <c:v>3.66012105688607</c:v>
                </c:pt>
                <c:pt idx="170">
                  <c:v>5.52461099267664</c:v>
                </c:pt>
                <c:pt idx="171">
                  <c:v>6.04158087893363</c:v>
                </c:pt>
                <c:pt idx="172">
                  <c:v>4.36493690435512</c:v>
                </c:pt>
                <c:pt idx="173">
                  <c:v>0.765453548001785</c:v>
                </c:pt>
                <c:pt idx="174">
                  <c:v>3.48314238946983</c:v>
                </c:pt>
                <c:pt idx="175">
                  <c:v>4.15677287661727</c:v>
                </c:pt>
                <c:pt idx="176">
                  <c:v>2.50979994153235</c:v>
                </c:pt>
                <c:pt idx="177">
                  <c:v>3.49499316663672</c:v>
                </c:pt>
                <c:pt idx="178">
                  <c:v>3.27559385482809</c:v>
                </c:pt>
                <c:pt idx="179">
                  <c:v>5.73498663394402</c:v>
                </c:pt>
                <c:pt idx="180">
                  <c:v>4.99135499475366</c:v>
                </c:pt>
                <c:pt idx="181">
                  <c:v>2.29833110020828</c:v>
                </c:pt>
                <c:pt idx="182">
                  <c:v>4.67672154579469</c:v>
                </c:pt>
                <c:pt idx="183">
                  <c:v>7.14456998417953</c:v>
                </c:pt>
                <c:pt idx="184">
                  <c:v>1.87794617146998</c:v>
                </c:pt>
                <c:pt idx="185">
                  <c:v>3.41954801267509</c:v>
                </c:pt>
                <c:pt idx="186">
                  <c:v>6.09579740346414</c:v>
                </c:pt>
                <c:pt idx="187">
                  <c:v>7.0853817889583</c:v>
                </c:pt>
                <c:pt idx="188">
                  <c:v>5.70792151197135</c:v>
                </c:pt>
                <c:pt idx="189">
                  <c:v>2.30206863334692</c:v>
                </c:pt>
                <c:pt idx="190">
                  <c:v>3.92441480172216</c:v>
                </c:pt>
                <c:pt idx="191">
                  <c:v>3.64135658694281</c:v>
                </c:pt>
                <c:pt idx="192">
                  <c:v>4.08345172015504</c:v>
                </c:pt>
                <c:pt idx="193">
                  <c:v>1.95682452579865</c:v>
                </c:pt>
                <c:pt idx="194">
                  <c:v>3.78595163533761</c:v>
                </c:pt>
                <c:pt idx="195">
                  <c:v>5.26155659942012</c:v>
                </c:pt>
                <c:pt idx="196">
                  <c:v>8.54240374581808</c:v>
                </c:pt>
                <c:pt idx="197">
                  <c:v>5.26029202125392</c:v>
                </c:pt>
                <c:pt idx="198">
                  <c:v>1.6302392945919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tickLblSkip val="20"/>
        <c:tickMarkSkip val="10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ACF for MA(1)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'MA 1'!$F$4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'MA 1'!$F$5:$F$19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strRef>
              <c:f xml:space="preserve">'MA 1'!$G$4</c:f>
              <c:strCache>
                <c:ptCount val="1"/>
                <c:pt idx="0">
                  <c:v xml:space="preserve">ACF (pop)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'MA 1'!$G$5:$G$19</c:f>
              <c:numCache>
                <c:formatCode>General</c:formatCode>
                <c:ptCount val="15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PACF for MA(1)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PACF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'MA 2'!$F$5:$F$19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PACF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'MA 2'!$G$5:$G$19</c:f>
              <c:numCache>
                <c:formatCode>General</c:formatCode>
                <c:ptCount val="15"/>
                <c:pt idx="0">
                  <c:v>0.4</c:v>
                </c:pt>
                <c:pt idx="1">
                  <c:v>-0.190476190476191</c:v>
                </c:pt>
                <c:pt idx="2">
                  <c:v>0.094117647058824</c:v>
                </c:pt>
                <c:pt idx="3">
                  <c:v>-0.04692082111437</c:v>
                </c:pt>
                <c:pt idx="4">
                  <c:v>0.023443223443223</c:v>
                </c:pt>
                <c:pt idx="5">
                  <c:v>-0.011719465299396</c:v>
                </c:pt>
                <c:pt idx="6">
                  <c:v>0.005859464408331</c:v>
                </c:pt>
                <c:pt idx="7">
                  <c:v>-0.002929698675914</c:v>
                </c:pt>
                <c:pt idx="8">
                  <c:v>0.001464845146985</c:v>
                </c:pt>
                <c:pt idx="9">
                  <c:v>-0.000732422049623</c:v>
                </c:pt>
                <c:pt idx="10">
                  <c:v>0.000366210959328</c:v>
                </c:pt>
                <c:pt idx="11">
                  <c:v>-0.000183105471478</c:v>
                </c:pt>
                <c:pt idx="12">
                  <c:v>0.000091552734716</c:v>
                </c:pt>
                <c:pt idx="13">
                  <c:v>-0.00004577636723</c:v>
                </c:pt>
                <c:pt idx="14">
                  <c:v>0.000022888183599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PACF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Correlogram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 xml:space="preserve">'MA 5'!$L$3</c:f>
              <c:strCache>
                <c:ptCount val="1"/>
                <c:pt idx="0">
                  <c:v>ACF</c:v>
                </c:pt>
              </c:strCache>
            </c:strRef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val>
            <c:numRef>
              <c:f xml:space="preserve">'MA 5'!$L$4:$L$18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219"/>
        <c:overlap val="-27"/>
        <c:axId val="10"/>
        <c:axId val="11"/>
      </c:bar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Lag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0" i="0" u="none" strike="noStrike">
                    <a:solidFill>
                      <a:srgbClr val="595959"/>
                    </a:solidFill>
                    <a:latin typeface="Calibri"/>
                  </a:defRPr>
                </a:pPr>
                <a:r>
                  <a:rPr/>
                  <a:t>ACF</a:t>
                </a:r>
                <a:endParaRPr/>
              </a:p>
            </c:rich>
          </c:tx>
          <c:layout/>
          <c:overlay val="0"/>
          <c:spPr bwMode="auto">
            <a:prstGeom prst="rect">
              <a:avLst/>
            </a:prstGeom>
            <a:noFill/>
            <a:ln w="9525">
              <a:noFill/>
            </a:ln>
          </c:spPr>
        </c:title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ARMA(1,1)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'ARMA 1.1'!$C$7:$C$111</c:f>
              <c:numCache>
                <c:formatCode>General</c:formatCode>
                <c:ptCount val="105"/>
                <c:pt idx="0">
                  <c:v>0.117675647565534</c:v>
                </c:pt>
                <c:pt idx="1">
                  <c:v>0.708251085798928</c:v>
                </c:pt>
                <c:pt idx="2">
                  <c:v>-1.66323140161822</c:v>
                </c:pt>
                <c:pt idx="3">
                  <c:v>-1.47952551773975</c:v>
                </c:pt>
                <c:pt idx="4">
                  <c:v>-0.183973688234292</c:v>
                </c:pt>
                <c:pt idx="5">
                  <c:v>0.521357426645976</c:v>
                </c:pt>
                <c:pt idx="6">
                  <c:v>-0.02880631611284</c:v>
                </c:pt>
                <c:pt idx="7">
                  <c:v>-1.32202661869702</c:v>
                </c:pt>
                <c:pt idx="8">
                  <c:v>0.549955099172928</c:v>
                </c:pt>
                <c:pt idx="9">
                  <c:v>1.32767159800418</c:v>
                </c:pt>
                <c:pt idx="10">
                  <c:v>0.320310754482986</c:v>
                </c:pt>
                <c:pt idx="11">
                  <c:v>0.312015116462048</c:v>
                </c:pt>
                <c:pt idx="12">
                  <c:v>0.918198811299812</c:v>
                </c:pt>
                <c:pt idx="13">
                  <c:v>0.151885556858855</c:v>
                </c:pt>
                <c:pt idx="14">
                  <c:v>0.393529670654908</c:v>
                </c:pt>
                <c:pt idx="15">
                  <c:v>-0.274564130127802</c:v>
                </c:pt>
                <c:pt idx="16">
                  <c:v>1.2288378220246</c:v>
                </c:pt>
                <c:pt idx="17">
                  <c:v>2.66840055249395</c:v>
                </c:pt>
                <c:pt idx="18">
                  <c:v>3.41772806382076</c:v>
                </c:pt>
                <c:pt idx="19">
                  <c:v>2.23919715681373</c:v>
                </c:pt>
                <c:pt idx="20">
                  <c:v>2.12255991460006</c:v>
                </c:pt>
                <c:pt idx="21">
                  <c:v>0.463798715409483</c:v>
                </c:pt>
                <c:pt idx="22">
                  <c:v>-0.550805454184769</c:v>
                </c:pt>
                <c:pt idx="23">
                  <c:v>1.18294624710812</c:v>
                </c:pt>
                <c:pt idx="24">
                  <c:v>-2.41329871503467</c:v>
                </c:pt>
                <c:pt idx="25">
                  <c:v>0.979470609445426</c:v>
                </c:pt>
                <c:pt idx="26">
                  <c:v>0.550882332249366</c:v>
                </c:pt>
                <c:pt idx="27">
                  <c:v>1.22792141758154</c:v>
                </c:pt>
                <c:pt idx="28">
                  <c:v>-0.923506683892734</c:v>
                </c:pt>
                <c:pt idx="29">
                  <c:v>-0.090278955688557</c:v>
                </c:pt>
                <c:pt idx="30">
                  <c:v>1.68379334636317</c:v>
                </c:pt>
                <c:pt idx="31">
                  <c:v>-0.610771448186918</c:v>
                </c:pt>
                <c:pt idx="32">
                  <c:v>1.28104466290076</c:v>
                </c:pt>
                <c:pt idx="33">
                  <c:v>-0.922245828706592</c:v>
                </c:pt>
                <c:pt idx="34">
                  <c:v>-0.578110038420581</c:v>
                </c:pt>
                <c:pt idx="35">
                  <c:v>0.768697284034686</c:v>
                </c:pt>
                <c:pt idx="36">
                  <c:v>0.044704988336535</c:v>
                </c:pt>
                <c:pt idx="37">
                  <c:v>-0.497339465646759</c:v>
                </c:pt>
                <c:pt idx="38">
                  <c:v>2.0166442406467</c:v>
                </c:pt>
                <c:pt idx="39">
                  <c:v>-0.392411208730678</c:v>
                </c:pt>
                <c:pt idx="40">
                  <c:v>0.478803163374056</c:v>
                </c:pt>
                <c:pt idx="41">
                  <c:v>0.131149115852965</c:v>
                </c:pt>
                <c:pt idx="42">
                  <c:v>-0.689744823091676</c:v>
                </c:pt>
                <c:pt idx="43">
                  <c:v>-0.046761014350019</c:v>
                </c:pt>
                <c:pt idx="44">
                  <c:v>-0.067915955901391</c:v>
                </c:pt>
                <c:pt idx="45">
                  <c:v>1.63510272853696</c:v>
                </c:pt>
                <c:pt idx="46">
                  <c:v>0.428243346732032</c:v>
                </c:pt>
                <c:pt idx="47">
                  <c:v>-0.305768947216551</c:v>
                </c:pt>
                <c:pt idx="48">
                  <c:v>0.169037009300341</c:v>
                </c:pt>
                <c:pt idx="49">
                  <c:v>0.486655892436523</c:v>
                </c:pt>
                <c:pt idx="50">
                  <c:v>0.656149765945374</c:v>
                </c:pt>
                <c:pt idx="51">
                  <c:v>0.129317654740803</c:v>
                </c:pt>
                <c:pt idx="52">
                  <c:v>-1.03369418589445</c:v>
                </c:pt>
                <c:pt idx="53">
                  <c:v>-1.89324851782638</c:v>
                </c:pt>
                <c:pt idx="54">
                  <c:v>-1.3261012119217</c:v>
                </c:pt>
                <c:pt idx="55">
                  <c:v>-1.26013785508198</c:v>
                </c:pt>
                <c:pt idx="56">
                  <c:v>-1.23602388766082</c:v>
                </c:pt>
                <c:pt idx="57">
                  <c:v>0.607632280618692</c:v>
                </c:pt>
                <c:pt idx="58">
                  <c:v>-1.15371562663076</c:v>
                </c:pt>
                <c:pt idx="59">
                  <c:v>-1.80256952284097</c:v>
                </c:pt>
                <c:pt idx="60">
                  <c:v>-0.29953218565045</c:v>
                </c:pt>
                <c:pt idx="61">
                  <c:v>-0.501191534484449</c:v>
                </c:pt>
                <c:pt idx="62">
                  <c:v>-0.299614219318894</c:v>
                </c:pt>
                <c:pt idx="63">
                  <c:v>-0.180372004841806</c:v>
                </c:pt>
                <c:pt idx="64">
                  <c:v>2.35704558608855</c:v>
                </c:pt>
                <c:pt idx="65">
                  <c:v>0.92360441469874</c:v>
                </c:pt>
                <c:pt idx="66">
                  <c:v>-0.299234152975031</c:v>
                </c:pt>
                <c:pt idx="67">
                  <c:v>0.274161065006956</c:v>
                </c:pt>
                <c:pt idx="68">
                  <c:v>-0.243919126238988</c:v>
                </c:pt>
                <c:pt idx="69">
                  <c:v>-0.712268157804916</c:v>
                </c:pt>
                <c:pt idx="70">
                  <c:v>-1.20519230299377</c:v>
                </c:pt>
                <c:pt idx="71">
                  <c:v>-0.04783405467203</c:v>
                </c:pt>
                <c:pt idx="72">
                  <c:v>-0.853482206667234</c:v>
                </c:pt>
                <c:pt idx="73">
                  <c:v>-1.58792717715607</c:v>
                </c:pt>
                <c:pt idx="74">
                  <c:v>-0.27615265935113</c:v>
                </c:pt>
                <c:pt idx="75">
                  <c:v>-1.55121124662252</c:v>
                </c:pt>
                <c:pt idx="76">
                  <c:v>-0.690830372002282</c:v>
                </c:pt>
                <c:pt idx="77">
                  <c:v>-0.370904927759345</c:v>
                </c:pt>
                <c:pt idx="78">
                  <c:v>0.498754342127343</c:v>
                </c:pt>
                <c:pt idx="79">
                  <c:v>-1.86544396537019</c:v>
                </c:pt>
                <c:pt idx="80">
                  <c:v>-0.844816437633928</c:v>
                </c:pt>
                <c:pt idx="81">
                  <c:v>-2.00791455992416</c:v>
                </c:pt>
                <c:pt idx="82">
                  <c:v>0.43952699667075</c:v>
                </c:pt>
                <c:pt idx="83">
                  <c:v>1.17525272842291</c:v>
                </c:pt>
                <c:pt idx="84">
                  <c:v>-0.078496510935841</c:v>
                </c:pt>
                <c:pt idx="85">
                  <c:v>0.65301886392562</c:v>
                </c:pt>
                <c:pt idx="86">
                  <c:v>0.300965035960083</c:v>
                </c:pt>
                <c:pt idx="87">
                  <c:v>-0.677288357959312</c:v>
                </c:pt>
                <c:pt idx="88">
                  <c:v>1.20849689798216</c:v>
                </c:pt>
                <c:pt idx="89">
                  <c:v>-0.166287748784828</c:v>
                </c:pt>
                <c:pt idx="90">
                  <c:v>1.00922890436721</c:v>
                </c:pt>
                <c:pt idx="91">
                  <c:v>-0.327788335740778</c:v>
                </c:pt>
                <c:pt idx="92">
                  <c:v>-1.9779448345737</c:v>
                </c:pt>
                <c:pt idx="93">
                  <c:v>-0.899839513291692</c:v>
                </c:pt>
                <c:pt idx="94">
                  <c:v>0.293563569831967</c:v>
                </c:pt>
                <c:pt idx="95">
                  <c:v>0.87413789235647</c:v>
                </c:pt>
                <c:pt idx="96">
                  <c:v>1.04858893038208</c:v>
                </c:pt>
                <c:pt idx="97">
                  <c:v>0.377103608405856</c:v>
                </c:pt>
                <c:pt idx="98">
                  <c:v>1.10073340647542</c:v>
                </c:pt>
                <c:pt idx="99">
                  <c:v>-0.443543310228555</c:v>
                </c:pt>
                <c:pt idx="100">
                  <c:v>0.126612012197917</c:v>
                </c:pt>
                <c:pt idx="101">
                  <c:v>0.618656799718756</c:v>
                </c:pt>
                <c:pt idx="102">
                  <c:v>1.36937764751368</c:v>
                </c:pt>
                <c:pt idx="103">
                  <c:v>0.761442220235378</c:v>
                </c:pt>
                <c:pt idx="104">
                  <c:v>1.95476505548297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ACF for ARMA(1,1)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'ARMA 1.1'!$M$6:$M$20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  <a:round/>
            </a:ln>
          </c:spPr>
          <c:marker>
            <c:symbol val="none"/>
          </c:marker>
          <c:val>
            <c:numRef>
              <c:f xml:space="preserve">'ARMA 1.1'!$N$6:$N$20</c:f>
              <c:numCache>
                <c:formatCode>General</c:formatCode>
                <c:ptCount val="15"/>
                <c:pt idx="0">
                  <c:v>0.355371900826446</c:v>
                </c:pt>
                <c:pt idx="1">
                  <c:v>0.248760330578512</c:v>
                </c:pt>
                <c:pt idx="2">
                  <c:v>0.174132231404958</c:v>
                </c:pt>
                <c:pt idx="3">
                  <c:v>0.121892561983471</c:v>
                </c:pt>
                <c:pt idx="4">
                  <c:v>0.08532479338843</c:v>
                </c:pt>
                <c:pt idx="5">
                  <c:v>0.059727355371901</c:v>
                </c:pt>
                <c:pt idx="6">
                  <c:v>0.041809148760331</c:v>
                </c:pt>
                <c:pt idx="7">
                  <c:v>0.029266404132232</c:v>
                </c:pt>
                <c:pt idx="8">
                  <c:v>0.020486482892562</c:v>
                </c:pt>
                <c:pt idx="9">
                  <c:v>0.014340538024793</c:v>
                </c:pt>
                <c:pt idx="10">
                  <c:v>0.010038376617355</c:v>
                </c:pt>
                <c:pt idx="11">
                  <c:v>0.007026863632149</c:v>
                </c:pt>
                <c:pt idx="12">
                  <c:v>0.004918804542504</c:v>
                </c:pt>
                <c:pt idx="13">
                  <c:v>0.003443163179753</c:v>
                </c:pt>
                <c:pt idx="14">
                  <c:v>0.002410214225827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-0.1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ACF for ARMA(1,1)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barChart>
        <c:barDir val="col"/>
        <c:grouping val="clustered"/>
        <c:varyColors val="0"/>
        <c:ser>
          <c:idx val="0"/>
          <c:order val="0"/>
          <c:tx>
            <c:v xml:space="preserve">ACF (actual)</c:v>
          </c:tx>
          <c:spPr bwMode="auto">
            <a:prstGeom prst="rect">
              <a:avLst/>
            </a:prstGeom>
            <a:solidFill>
              <a:srgbClr val="5B9BD5"/>
            </a:solidFill>
            <a:ln w="9525">
              <a:noFill/>
            </a:ln>
          </c:spP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 xml:space="preserve">'ARMA 1.1'!$M$6:$M$20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gapWidth val="150"/>
        <c:axId val="10"/>
        <c:axId val="11"/>
      </c:barChart>
      <c:lineChart>
        <c:grouping val="standard"/>
        <c:varyColors val="0"/>
        <c:ser>
          <c:idx val="1"/>
          <c:order val="1"/>
          <c:tx>
            <c:v xml:space="preserve">ACF (theoretical)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 xml:space="preserve">'ARMA 1.1'!$N$6:$N$20</c:f>
              <c:numCache>
                <c:formatCode>General</c:formatCode>
                <c:ptCount val="15"/>
                <c:pt idx="0">
                  <c:v>0.355371900826446</c:v>
                </c:pt>
                <c:pt idx="1">
                  <c:v>0.248760330578512</c:v>
                </c:pt>
                <c:pt idx="2">
                  <c:v>0.174132231404958</c:v>
                </c:pt>
                <c:pt idx="3">
                  <c:v>0.121892561983471</c:v>
                </c:pt>
                <c:pt idx="4">
                  <c:v>0.08532479338843</c:v>
                </c:pt>
                <c:pt idx="5">
                  <c:v>0.059727355371901</c:v>
                </c:pt>
                <c:pt idx="6">
                  <c:v>0.041809148760331</c:v>
                </c:pt>
                <c:pt idx="7">
                  <c:v>0.029266404132232</c:v>
                </c:pt>
                <c:pt idx="8">
                  <c:v>0.020486482892562</c:v>
                </c:pt>
                <c:pt idx="9">
                  <c:v>0.014340538024793</c:v>
                </c:pt>
                <c:pt idx="10">
                  <c:v>0.010038376617355</c:v>
                </c:pt>
                <c:pt idx="11">
                  <c:v>0.007026863632149</c:v>
                </c:pt>
                <c:pt idx="12">
                  <c:v>0.004918804542504</c:v>
                </c:pt>
                <c:pt idx="13">
                  <c:v>0.003443163179753</c:v>
                </c:pt>
                <c:pt idx="14">
                  <c:v>0.002410214225827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-0.1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ARMA(1,1) Process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'ARMA 1.1a'!$C$7:$C$111</c:f>
              <c:numCache>
                <c:formatCode>General</c:formatCode>
                <c:ptCount val="105"/>
                <c:pt idx="0">
                  <c:v>3.11767564756553</c:v>
                </c:pt>
                <c:pt idx="1">
                  <c:v>5.80825108579892</c:v>
                </c:pt>
                <c:pt idx="2">
                  <c:v>4.90676859838178</c:v>
                </c:pt>
                <c:pt idx="3">
                  <c:v>6.11947448226025</c:v>
                </c:pt>
                <c:pt idx="4">
                  <c:v>8.13532631176572</c:v>
                </c:pt>
                <c:pt idx="5">
                  <c:v>9.34486742664599</c:v>
                </c:pt>
                <c:pt idx="6">
                  <c:v>9.14765068388717</c:v>
                </c:pt>
                <c:pt idx="7">
                  <c:v>8.10149328130299</c:v>
                </c:pt>
                <c:pt idx="8">
                  <c:v>10.1464190291729</c:v>
                </c:pt>
                <c:pt idx="9">
                  <c:v>11.0451963490041</c:v>
                </c:pt>
                <c:pt idx="10">
                  <c:v>10.122578080183</c:v>
                </c:pt>
                <c:pt idx="11">
                  <c:v>10.1736022444521</c:v>
                </c:pt>
                <c:pt idx="12">
                  <c:v>10.8213098008929</c:v>
                </c:pt>
                <c:pt idx="13">
                  <c:v>10.084063249574</c:v>
                </c:pt>
                <c:pt idx="14">
                  <c:v>10.3460540555555</c:v>
                </c:pt>
                <c:pt idx="15">
                  <c:v>9.69220293930267</c:v>
                </c:pt>
                <c:pt idx="16">
                  <c:v>11.2055747706259</c:v>
                </c:pt>
                <c:pt idx="17">
                  <c:v>12.6521164165149</c:v>
                </c:pt>
                <c:pt idx="18">
                  <c:v>13.4063291686354</c:v>
                </c:pt>
                <c:pt idx="19">
                  <c:v>12.231217930184</c:v>
                </c:pt>
                <c:pt idx="20">
                  <c:v>12.1169744559593</c:v>
                </c:pt>
                <c:pt idx="21">
                  <c:v>10.4598888943609</c:v>
                </c:pt>
                <c:pt idx="22">
                  <c:v>9.44645767108119</c:v>
                </c:pt>
                <c:pt idx="23">
                  <c:v>11.1810304347943</c:v>
                </c:pt>
                <c:pt idx="24">
                  <c:v>7.58536021634565</c:v>
                </c:pt>
                <c:pt idx="25">
                  <c:v>10.9785318614117</c:v>
                </c:pt>
                <c:pt idx="26">
                  <c:v>10.5502252086258</c:v>
                </c:pt>
                <c:pt idx="27">
                  <c:v>11.2274614310451</c:v>
                </c:pt>
                <c:pt idx="28">
                  <c:v>9.07617132553179</c:v>
                </c:pt>
                <c:pt idx="29">
                  <c:v>9.90949565090861</c:v>
                </c:pt>
                <c:pt idx="30">
                  <c:v>11.6836355709812</c:v>
                </c:pt>
                <c:pt idx="31">
                  <c:v>9.38911810904566</c:v>
                </c:pt>
                <c:pt idx="32">
                  <c:v>11.2809673529635</c:v>
                </c:pt>
                <c:pt idx="33">
                  <c:v>9.07770005433738</c:v>
                </c:pt>
                <c:pt idx="34">
                  <c:v>9.4218520797102</c:v>
                </c:pt>
                <c:pt idx="35">
                  <c:v>10.7686707667262</c:v>
                </c:pt>
                <c:pt idx="36">
                  <c:v>10.0446864262206</c:v>
                </c:pt>
                <c:pt idx="37">
                  <c:v>9.50264754087207</c:v>
                </c:pt>
                <c:pt idx="38">
                  <c:v>12.0166351452099</c:v>
                </c:pt>
                <c:pt idx="39">
                  <c:v>9.60758242446355</c:v>
                </c:pt>
                <c:pt idx="40">
                  <c:v>10.47879870661</c:v>
                </c:pt>
                <c:pt idx="41">
                  <c:v>10.1311459961181</c:v>
                </c:pt>
                <c:pt idx="42">
                  <c:v>9.31025299309395</c:v>
                </c:pt>
                <c:pt idx="43">
                  <c:v>9.95323745697993</c:v>
                </c:pt>
                <c:pt idx="44">
                  <c:v>9.93208297402957</c:v>
                </c:pt>
                <c:pt idx="45">
                  <c:v>11.6351019794887</c:v>
                </c:pt>
                <c:pt idx="46">
                  <c:v>10.4282428223983</c:v>
                </c:pt>
                <c:pt idx="47">
                  <c:v>9.69423068574983</c:v>
                </c:pt>
                <c:pt idx="48">
                  <c:v>10.1690367523768</c:v>
                </c:pt>
                <c:pt idx="49">
                  <c:v>10.4866557125901</c:v>
                </c:pt>
                <c:pt idx="50">
                  <c:v>10.6561496400529</c:v>
                </c:pt>
                <c:pt idx="51">
                  <c:v>10.129317566616</c:v>
                </c:pt>
                <c:pt idx="52">
                  <c:v>8.9663057524182</c:v>
                </c:pt>
                <c:pt idx="53">
                  <c:v>8.10675143899249</c:v>
                </c:pt>
                <c:pt idx="54">
                  <c:v>8.67389875785151</c:v>
                </c:pt>
                <c:pt idx="55">
                  <c:v>8.73986212375927</c:v>
                </c:pt>
                <c:pt idx="56">
                  <c:v>8.76397609752807</c:v>
                </c:pt>
                <c:pt idx="57">
                  <c:v>10.6076322702509</c:v>
                </c:pt>
                <c:pt idx="58">
                  <c:v>8.84628436611175</c:v>
                </c:pt>
                <c:pt idx="59">
                  <c:v>8.19743047207879</c:v>
                </c:pt>
                <c:pt idx="60">
                  <c:v>9.70046781079338</c:v>
                </c:pt>
                <c:pt idx="61">
                  <c:v>9.49880846302624</c:v>
                </c:pt>
                <c:pt idx="62">
                  <c:v>9.70038577893859</c:v>
                </c:pt>
                <c:pt idx="63">
                  <c:v>9.81962799393844</c:v>
                </c:pt>
                <c:pt idx="64">
                  <c:v>12.3570455852348</c:v>
                </c:pt>
                <c:pt idx="65">
                  <c:v>10.9236044141012</c:v>
                </c:pt>
                <c:pt idx="66">
                  <c:v>9.70076584660665</c:v>
                </c:pt>
                <c:pt idx="67">
                  <c:v>10.2741610647141</c:v>
                </c:pt>
                <c:pt idx="68">
                  <c:v>9.75608087355605</c:v>
                </c:pt>
                <c:pt idx="69">
                  <c:v>9.28773184205162</c:v>
                </c:pt>
                <c:pt idx="70">
                  <c:v>8.7948076969058</c:v>
                </c:pt>
                <c:pt idx="71">
                  <c:v>9.95216594525768</c:v>
                </c:pt>
                <c:pt idx="72">
                  <c:v>9.14651779328358</c:v>
                </c:pt>
                <c:pt idx="73">
                  <c:v>8.4120728228095</c:v>
                </c:pt>
                <c:pt idx="74">
                  <c:v>9.72384734062477</c:v>
                </c:pt>
                <c:pt idx="75">
                  <c:v>8.44878875336061</c:v>
                </c:pt>
                <c:pt idx="76">
                  <c:v>9.30916962798591</c:v>
                </c:pt>
                <c:pt idx="77">
                  <c:v>9.62909507223239</c:v>
                </c:pt>
                <c:pt idx="78">
                  <c:v>10.4987543421216</c:v>
                </c:pt>
                <c:pt idx="79">
                  <c:v>8.13455603462578</c:v>
                </c:pt>
                <c:pt idx="80">
                  <c:v>9.15518356236325</c:v>
                </c:pt>
                <c:pt idx="81">
                  <c:v>7.99208544007387</c:v>
                </c:pt>
                <c:pt idx="82">
                  <c:v>10.4395269966694</c:v>
                </c:pt>
                <c:pt idx="83">
                  <c:v>11.1752527284219</c:v>
                </c:pt>
                <c:pt idx="84">
                  <c:v>9.92150348906347</c:v>
                </c:pt>
                <c:pt idx="85">
                  <c:v>10.6530188639251</c:v>
                </c:pt>
                <c:pt idx="86">
                  <c:v>10.3009650359598</c:v>
                </c:pt>
                <c:pt idx="87">
                  <c:v>9.32271164204054</c:v>
                </c:pt>
                <c:pt idx="88">
                  <c:v>11.208496897982</c:v>
                </c:pt>
                <c:pt idx="89">
                  <c:v>9.83371225121507</c:v>
                </c:pt>
                <c:pt idx="90">
                  <c:v>11.0092289043671</c:v>
                </c:pt>
                <c:pt idx="91">
                  <c:v>9.67221166425917</c:v>
                </c:pt>
                <c:pt idx="92">
                  <c:v>8.02205516542627</c:v>
                </c:pt>
                <c:pt idx="93">
                  <c:v>9.10016048670829</c:v>
                </c:pt>
                <c:pt idx="94">
                  <c:v>10.2935635698319</c:v>
                </c:pt>
                <c:pt idx="95">
                  <c:v>10.8741378923564</c:v>
                </c:pt>
                <c:pt idx="96">
                  <c:v>11.048588930382</c:v>
                </c:pt>
                <c:pt idx="97">
                  <c:v>10.3771036084058</c:v>
                </c:pt>
                <c:pt idx="98">
                  <c:v>11.1007334064754</c:v>
                </c:pt>
                <c:pt idx="99">
                  <c:v>9.55645668977145</c:v>
                </c:pt>
                <c:pt idx="100">
                  <c:v>10.1266120121979</c:v>
                </c:pt>
                <c:pt idx="101">
                  <c:v>10.6186567997187</c:v>
                </c:pt>
                <c:pt idx="102">
                  <c:v>11.3693776475137</c:v>
                </c:pt>
                <c:pt idx="103">
                  <c:v>10.7614422202354</c:v>
                </c:pt>
                <c:pt idx="104">
                  <c:v>11.954765055483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7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ARMA(2,1) Forecast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val>
            <c:numRef>
              <c:f xml:space="preserve">'ARMA 2.1'!$AE$4:$AE$113</c:f>
              <c:numCache>
                <c:formatCode>General</c:formatCode>
                <c:ptCount val="110"/>
                <c:pt idx="0">
                  <c:v>3.11767564756553</c:v>
                </c:pt>
                <c:pt idx="1">
                  <c:v>5.80825108579893</c:v>
                </c:pt>
                <c:pt idx="2">
                  <c:v>4.90676859838178</c:v>
                </c:pt>
                <c:pt idx="3">
                  <c:v>6.11947448226024</c:v>
                </c:pt>
                <c:pt idx="4">
                  <c:v>8.13532631176571</c:v>
                </c:pt>
                <c:pt idx="5">
                  <c:v>9.34486742664598</c:v>
                </c:pt>
                <c:pt idx="6">
                  <c:v>9.14765068388716</c:v>
                </c:pt>
                <c:pt idx="7">
                  <c:v>8.10149328130298</c:v>
                </c:pt>
                <c:pt idx="8">
                  <c:v>10.1464190291729</c:v>
                </c:pt>
                <c:pt idx="9">
                  <c:v>11.0451963490042</c:v>
                </c:pt>
                <c:pt idx="10">
                  <c:v>10.122578080183</c:v>
                </c:pt>
                <c:pt idx="11">
                  <c:v>10.1736022444521</c:v>
                </c:pt>
                <c:pt idx="12">
                  <c:v>10.8213098008928</c:v>
                </c:pt>
                <c:pt idx="13">
                  <c:v>10.084063249574</c:v>
                </c:pt>
                <c:pt idx="14">
                  <c:v>10.3460540555555</c:v>
                </c:pt>
                <c:pt idx="15">
                  <c:v>9.6922029393026</c:v>
                </c:pt>
                <c:pt idx="16">
                  <c:v>11.2055747706259</c:v>
                </c:pt>
                <c:pt idx="17">
                  <c:v>12.6521164165148</c:v>
                </c:pt>
                <c:pt idx="18">
                  <c:v>13.4063291686354</c:v>
                </c:pt>
                <c:pt idx="19">
                  <c:v>12.231217930184</c:v>
                </c:pt>
                <c:pt idx="20">
                  <c:v>12.1169744559592</c:v>
                </c:pt>
                <c:pt idx="21">
                  <c:v>10.4598888943609</c:v>
                </c:pt>
                <c:pt idx="22">
                  <c:v>9.44645767108123</c:v>
                </c:pt>
                <c:pt idx="23">
                  <c:v>11.1810304347943</c:v>
                </c:pt>
                <c:pt idx="24">
                  <c:v>7.58536021634568</c:v>
                </c:pt>
                <c:pt idx="25">
                  <c:v>10.9785318614117</c:v>
                </c:pt>
                <c:pt idx="26">
                  <c:v>10.5502252086257</c:v>
                </c:pt>
                <c:pt idx="27">
                  <c:v>11.227461431045</c:v>
                </c:pt>
                <c:pt idx="28">
                  <c:v>9.07617132553169</c:v>
                </c:pt>
                <c:pt idx="29">
                  <c:v>9.90949565090854</c:v>
                </c:pt>
                <c:pt idx="30">
                  <c:v>11.6836355709811</c:v>
                </c:pt>
                <c:pt idx="31">
                  <c:v>9.38911810904566</c:v>
                </c:pt>
                <c:pt idx="32">
                  <c:v>11.2809673529636</c:v>
                </c:pt>
                <c:pt idx="33">
                  <c:v>9.07770005433737</c:v>
                </c:pt>
                <c:pt idx="34">
                  <c:v>9.42185207971019</c:v>
                </c:pt>
                <c:pt idx="35">
                  <c:v>10.7686707667262</c:v>
                </c:pt>
                <c:pt idx="36">
                  <c:v>10.0446864262206</c:v>
                </c:pt>
                <c:pt idx="37">
                  <c:v>9.5026475408721</c:v>
                </c:pt>
                <c:pt idx="38">
                  <c:v>12.0166351452099</c:v>
                </c:pt>
                <c:pt idx="39">
                  <c:v>9.60758242446356</c:v>
                </c:pt>
                <c:pt idx="40">
                  <c:v>10.47879870661</c:v>
                </c:pt>
                <c:pt idx="41">
                  <c:v>10.1311459961181</c:v>
                </c:pt>
                <c:pt idx="42">
                  <c:v>9.31025299309395</c:v>
                </c:pt>
                <c:pt idx="43">
                  <c:v>9.95323745697992</c:v>
                </c:pt>
                <c:pt idx="44">
                  <c:v>9.93208297402956</c:v>
                </c:pt>
                <c:pt idx="45">
                  <c:v>11.6351019794886</c:v>
                </c:pt>
                <c:pt idx="46">
                  <c:v>10.4282428223982</c:v>
                </c:pt>
                <c:pt idx="47">
                  <c:v>9.69423068574976</c:v>
                </c:pt>
                <c:pt idx="48">
                  <c:v>10.1690367523768</c:v>
                </c:pt>
                <c:pt idx="49">
                  <c:v>10.48665571259</c:v>
                </c:pt>
                <c:pt idx="50">
                  <c:v>10.6561496400528</c:v>
                </c:pt>
                <c:pt idx="51">
                  <c:v>10.129317566616</c:v>
                </c:pt>
                <c:pt idx="52">
                  <c:v>8.96630575241821</c:v>
                </c:pt>
                <c:pt idx="53">
                  <c:v>8.10675143899248</c:v>
                </c:pt>
                <c:pt idx="54">
                  <c:v>8.6738987578515</c:v>
                </c:pt>
                <c:pt idx="55">
                  <c:v>8.73986212375927</c:v>
                </c:pt>
                <c:pt idx="56">
                  <c:v>8.76397609752806</c:v>
                </c:pt>
                <c:pt idx="57">
                  <c:v>10.6076322702509</c:v>
                </c:pt>
                <c:pt idx="58">
                  <c:v>8.84628436611179</c:v>
                </c:pt>
                <c:pt idx="59">
                  <c:v>8.19743047207882</c:v>
                </c:pt>
                <c:pt idx="60">
                  <c:v>9.7004678107934</c:v>
                </c:pt>
                <c:pt idx="61">
                  <c:v>9.49880846302625</c:v>
                </c:pt>
                <c:pt idx="62">
                  <c:v>9.70038577893859</c:v>
                </c:pt>
                <c:pt idx="63">
                  <c:v>9.81962799393843</c:v>
                </c:pt>
                <c:pt idx="64">
                  <c:v>12.3570455852347</c:v>
                </c:pt>
                <c:pt idx="65">
                  <c:v>10.923604414101</c:v>
                </c:pt>
                <c:pt idx="66">
                  <c:v>9.70076584660658</c:v>
                </c:pt>
                <c:pt idx="67">
                  <c:v>10.2741610647141</c:v>
                </c:pt>
                <c:pt idx="68">
                  <c:v>9.756080873556</c:v>
                </c:pt>
                <c:pt idx="69">
                  <c:v>9.28773184205158</c:v>
                </c:pt>
                <c:pt idx="70">
                  <c:v>8.79480769690578</c:v>
                </c:pt>
                <c:pt idx="71">
                  <c:v>9.95216594525765</c:v>
                </c:pt>
                <c:pt idx="72">
                  <c:v>9.14651779328355</c:v>
                </c:pt>
                <c:pt idx="73">
                  <c:v>8.41207282280948</c:v>
                </c:pt>
                <c:pt idx="74">
                  <c:v>9.72384734062475</c:v>
                </c:pt>
                <c:pt idx="75">
                  <c:v>8.4487887533606</c:v>
                </c:pt>
                <c:pt idx="76">
                  <c:v>9.3091696279859</c:v>
                </c:pt>
                <c:pt idx="77">
                  <c:v>9.62909507223238</c:v>
                </c:pt>
                <c:pt idx="78">
                  <c:v>10.4987543421216</c:v>
                </c:pt>
                <c:pt idx="79">
                  <c:v>8.13455603462576</c:v>
                </c:pt>
                <c:pt idx="80">
                  <c:v>9.15518356236324</c:v>
                </c:pt>
                <c:pt idx="81">
                  <c:v>7.99208544007385</c:v>
                </c:pt>
                <c:pt idx="82">
                  <c:v>10.4395269966694</c:v>
                </c:pt>
                <c:pt idx="83">
                  <c:v>11.1752527284219</c:v>
                </c:pt>
                <c:pt idx="84">
                  <c:v>9.92150348906348</c:v>
                </c:pt>
                <c:pt idx="85">
                  <c:v>10.6530188639251</c:v>
                </c:pt>
                <c:pt idx="86">
                  <c:v>10.3009650359597</c:v>
                </c:pt>
                <c:pt idx="87">
                  <c:v>9.32271164204045</c:v>
                </c:pt>
                <c:pt idx="88">
                  <c:v>11.208496897982</c:v>
                </c:pt>
                <c:pt idx="89">
                  <c:v>9.83371225121506</c:v>
                </c:pt>
                <c:pt idx="90">
                  <c:v>11.0092289043671</c:v>
                </c:pt>
                <c:pt idx="91">
                  <c:v>9.67221166425917</c:v>
                </c:pt>
                <c:pt idx="92">
                  <c:v>8.02205516542627</c:v>
                </c:pt>
                <c:pt idx="93">
                  <c:v>9.10016048670828</c:v>
                </c:pt>
                <c:pt idx="94">
                  <c:v>10.2935635698319</c:v>
                </c:pt>
                <c:pt idx="95">
                  <c:v>10.8741378923565</c:v>
                </c:pt>
                <c:pt idx="96">
                  <c:v>11.0485889303821</c:v>
                </c:pt>
                <c:pt idx="97">
                  <c:v>10.3771036084059</c:v>
                </c:pt>
                <c:pt idx="98">
                  <c:v>11.1007334064754</c:v>
                </c:pt>
                <c:pt idx="99">
                  <c:v>9.55645668977144</c:v>
                </c:pt>
                <c:pt idx="100">
                  <c:v>10.1266120121979</c:v>
                </c:pt>
                <c:pt idx="101">
                  <c:v>10.6186567997188</c:v>
                </c:pt>
                <c:pt idx="102">
                  <c:v>11.3693776475137</c:v>
                </c:pt>
                <c:pt idx="103">
                  <c:v>10.7614422202354</c:v>
                </c:pt>
                <c:pt idx="104">
                  <c:v>11.954765055483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  <a:round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7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Time series plot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val>
            <c:numRef>
              <c:f>MK!$A$4:$A$15</c:f>
              <c:numCache>
                <c:formatCode>General</c:formatCode>
                <c:ptCount val="12"/>
                <c:pt idx="0">
                  <c:v>6.8</c:v>
                </c:pt>
                <c:pt idx="1">
                  <c:v>5.9</c:v>
                </c:pt>
                <c:pt idx="2">
                  <c:v>5.7</c:v>
                </c:pt>
                <c:pt idx="3">
                  <c:v>5.5</c:v>
                </c:pt>
                <c:pt idx="4">
                  <c:v>5.5</c:v>
                </c:pt>
                <c:pt idx="5">
                  <c:v>4.5</c:v>
                </c:pt>
                <c:pt idx="6">
                  <c:v>4</c:v>
                </c:pt>
                <c:pt idx="7">
                  <c:v>5.1</c:v>
                </c:pt>
                <c:pt idx="8">
                  <c:v>4.5</c:v>
                </c:pt>
                <c:pt idx="9">
                  <c:v>4.5</c:v>
                </c:pt>
                <c:pt idx="10">
                  <c:v>3.3</c:v>
                </c:pt>
                <c:pt idx="11">
                  <c:v>4.8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3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0.0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Time Series Plot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val>
            <c:numRef>
              <c:f xml:space="preserve">'MK + Sen'!$A$3:$A$72</c:f>
              <c:numCache>
                <c:formatCode>General</c:formatCode>
                <c:ptCount val="70"/>
                <c:pt idx="0">
                  <c:v>4.8</c:v>
                </c:pt>
                <c:pt idx="1">
                  <c:v>4.9</c:v>
                </c:pt>
                <c:pt idx="2">
                  <c:v>4.5</c:v>
                </c:pt>
                <c:pt idx="3">
                  <c:v>5.9</c:v>
                </c:pt>
                <c:pt idx="4">
                  <c:v>6.8</c:v>
                </c:pt>
                <c:pt idx="5">
                  <c:v>5.3</c:v>
                </c:pt>
                <c:pt idx="6">
                  <c:v>4.5</c:v>
                </c:pt>
                <c:pt idx="7">
                  <c:v>4.1</c:v>
                </c:pt>
                <c:pt idx="8">
                  <c:v>5.1</c:v>
                </c:pt>
                <c:pt idx="9">
                  <c:v>4.5</c:v>
                </c:pt>
                <c:pt idx="10">
                  <c:v>3.9</c:v>
                </c:pt>
                <c:pt idx="11">
                  <c:v>3</c:v>
                </c:pt>
                <c:pt idx="12">
                  <c:v>5.4</c:v>
                </c:pt>
                <c:pt idx="13">
                  <c:v>3.9</c:v>
                </c:pt>
                <c:pt idx="14">
                  <c:v>5.7</c:v>
                </c:pt>
                <c:pt idx="15">
                  <c:v>4.4</c:v>
                </c:pt>
                <c:pt idx="16">
                  <c:v>6.2</c:v>
                </c:pt>
                <c:pt idx="17">
                  <c:v>4.4</c:v>
                </c:pt>
                <c:pt idx="18">
                  <c:v>3.7</c:v>
                </c:pt>
                <c:pt idx="19">
                  <c:v>4.4</c:v>
                </c:pt>
                <c:pt idx="20">
                  <c:v>4</c:v>
                </c:pt>
                <c:pt idx="21">
                  <c:v>3.8</c:v>
                </c:pt>
                <c:pt idx="22">
                  <c:v>5.1</c:v>
                </c:pt>
                <c:pt idx="23">
                  <c:v>4.4</c:v>
                </c:pt>
                <c:pt idx="24">
                  <c:v>3.3</c:v>
                </c:pt>
                <c:pt idx="25">
                  <c:v>3.9</c:v>
                </c:pt>
                <c:pt idx="26">
                  <c:v>5.2</c:v>
                </c:pt>
                <c:pt idx="27">
                  <c:v>5.5</c:v>
                </c:pt>
                <c:pt idx="28">
                  <c:v>5.1</c:v>
                </c:pt>
                <c:pt idx="29">
                  <c:v>6</c:v>
                </c:pt>
                <c:pt idx="30">
                  <c:v>6.6</c:v>
                </c:pt>
                <c:pt idx="31">
                  <c:v>3.5</c:v>
                </c:pt>
                <c:pt idx="32">
                  <c:v>4.6</c:v>
                </c:pt>
                <c:pt idx="33">
                  <c:v>3.6</c:v>
                </c:pt>
                <c:pt idx="34">
                  <c:v>4.8</c:v>
                </c:pt>
                <c:pt idx="35">
                  <c:v>4.1</c:v>
                </c:pt>
                <c:pt idx="36">
                  <c:v>5</c:v>
                </c:pt>
                <c:pt idx="37">
                  <c:v>5.4</c:v>
                </c:pt>
                <c:pt idx="38">
                  <c:v>6.2</c:v>
                </c:pt>
                <c:pt idx="39">
                  <c:v>5.5</c:v>
                </c:pt>
                <c:pt idx="40">
                  <c:v>3.5</c:v>
                </c:pt>
                <c:pt idx="41">
                  <c:v>4.9</c:v>
                </c:pt>
                <c:pt idx="42">
                  <c:v>3.2</c:v>
                </c:pt>
                <c:pt idx="43">
                  <c:v>5.7</c:v>
                </c:pt>
                <c:pt idx="44">
                  <c:v>7.2</c:v>
                </c:pt>
                <c:pt idx="45">
                  <c:v>6.6</c:v>
                </c:pt>
                <c:pt idx="46">
                  <c:v>6.3</c:v>
                </c:pt>
                <c:pt idx="47">
                  <c:v>6.4</c:v>
                </c:pt>
                <c:pt idx="48">
                  <c:v>4.9</c:v>
                </c:pt>
                <c:pt idx="49">
                  <c:v>5.2</c:v>
                </c:pt>
                <c:pt idx="50">
                  <c:v>6.2</c:v>
                </c:pt>
                <c:pt idx="51">
                  <c:v>4.4</c:v>
                </c:pt>
                <c:pt idx="52">
                  <c:v>5.7</c:v>
                </c:pt>
                <c:pt idx="53">
                  <c:v>5.3</c:v>
                </c:pt>
                <c:pt idx="54">
                  <c:v>6.6</c:v>
                </c:pt>
                <c:pt idx="55">
                  <c:v>7</c:v>
                </c:pt>
                <c:pt idx="56">
                  <c:v>5.8</c:v>
                </c:pt>
                <c:pt idx="57">
                  <c:v>6.2</c:v>
                </c:pt>
                <c:pt idx="58">
                  <c:v>5.6</c:v>
                </c:pt>
                <c:pt idx="59">
                  <c:v>5.9</c:v>
                </c:pt>
                <c:pt idx="60">
                  <c:v>5.8</c:v>
                </c:pt>
                <c:pt idx="61">
                  <c:v>6.5</c:v>
                </c:pt>
                <c:pt idx="62">
                  <c:v>6.7</c:v>
                </c:pt>
                <c:pt idx="63">
                  <c:v>7.2</c:v>
                </c:pt>
                <c:pt idx="64">
                  <c:v>6</c:v>
                </c:pt>
                <c:pt idx="65">
                  <c:v>5.1</c:v>
                </c:pt>
                <c:pt idx="66">
                  <c:v>6.9</c:v>
                </c:pt>
                <c:pt idx="67">
                  <c:v>5.3</c:v>
                </c:pt>
                <c:pt idx="68">
                  <c:v>6.6</c:v>
                </c:pt>
                <c:pt idx="69">
                  <c:v>6.7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tickLblSkip val="5"/>
        <c:tickMarkSkip val="5"/>
        <c:noMultiLvlLbl val="0"/>
      </c:catAx>
      <c:valAx>
        <c:axId val="11"/>
        <c:scaling>
          <c:orientation val="minMax"/>
          <c:min val="3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0.0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Chicken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cat>
            <c:numRef>
              <c:f xml:space="preserve">'Granger 1'!$A$2:$A$43</c:f>
              <c:numCache>
                <c:formatCode>General</c:formatCode>
                <c:ptCount val="42"/>
                <c:pt idx="0">
                  <c:v>1931</c:v>
                </c:pt>
                <c:pt idx="1">
                  <c:v>1932</c:v>
                </c:pt>
                <c:pt idx="2">
                  <c:v>1933</c:v>
                </c:pt>
                <c:pt idx="3">
                  <c:v>1934</c:v>
                </c:pt>
                <c:pt idx="4">
                  <c:v>1935</c:v>
                </c:pt>
                <c:pt idx="5">
                  <c:v>1936</c:v>
                </c:pt>
                <c:pt idx="6">
                  <c:v>1937</c:v>
                </c:pt>
                <c:pt idx="7">
                  <c:v>1938</c:v>
                </c:pt>
                <c:pt idx="8">
                  <c:v>1939</c:v>
                </c:pt>
                <c:pt idx="9">
                  <c:v>1940</c:v>
                </c:pt>
                <c:pt idx="10">
                  <c:v>1941</c:v>
                </c:pt>
                <c:pt idx="11">
                  <c:v>1942</c:v>
                </c:pt>
                <c:pt idx="12">
                  <c:v>1943</c:v>
                </c:pt>
                <c:pt idx="13">
                  <c:v>1944</c:v>
                </c:pt>
                <c:pt idx="14">
                  <c:v>1945</c:v>
                </c:pt>
                <c:pt idx="15">
                  <c:v>1946</c:v>
                </c:pt>
                <c:pt idx="16">
                  <c:v>1947</c:v>
                </c:pt>
                <c:pt idx="17">
                  <c:v>1948</c:v>
                </c:pt>
                <c:pt idx="18">
                  <c:v>1949</c:v>
                </c:pt>
                <c:pt idx="19">
                  <c:v>1950</c:v>
                </c:pt>
                <c:pt idx="20">
                  <c:v>1951</c:v>
                </c:pt>
                <c:pt idx="21">
                  <c:v>1952</c:v>
                </c:pt>
                <c:pt idx="22">
                  <c:v>1953</c:v>
                </c:pt>
                <c:pt idx="23">
                  <c:v>1954</c:v>
                </c:pt>
                <c:pt idx="24">
                  <c:v>1955</c:v>
                </c:pt>
                <c:pt idx="25">
                  <c:v>1956</c:v>
                </c:pt>
                <c:pt idx="26">
                  <c:v>1957</c:v>
                </c:pt>
                <c:pt idx="27">
                  <c:v>1958</c:v>
                </c:pt>
                <c:pt idx="28">
                  <c:v>1959</c:v>
                </c:pt>
                <c:pt idx="29">
                  <c:v>1960</c:v>
                </c:pt>
                <c:pt idx="30">
                  <c:v>1961</c:v>
                </c:pt>
                <c:pt idx="31">
                  <c:v>1962</c:v>
                </c:pt>
                <c:pt idx="32">
                  <c:v>1963</c:v>
                </c:pt>
                <c:pt idx="33">
                  <c:v>1964</c:v>
                </c:pt>
                <c:pt idx="34">
                  <c:v>1965</c:v>
                </c:pt>
                <c:pt idx="35">
                  <c:v>1966</c:v>
                </c:pt>
                <c:pt idx="36">
                  <c:v>1967</c:v>
                </c:pt>
                <c:pt idx="37">
                  <c:v>1968</c:v>
                </c:pt>
                <c:pt idx="38">
                  <c:v>1969</c:v>
                </c:pt>
                <c:pt idx="39">
                  <c:v>1970</c:v>
                </c:pt>
                <c:pt idx="40">
                  <c:v>1970</c:v>
                </c:pt>
                <c:pt idx="41">
                  <c:v>1970</c:v>
                </c:pt>
              </c:numCache>
            </c:numRef>
          </c:cat>
          <c:val>
            <c:numRef>
              <c:f xml:space="preserve">'Granger 1'!$B$2:$B$43</c:f>
              <c:numCache>
                <c:formatCode>General</c:formatCode>
                <c:ptCount val="42"/>
                <c:pt idx="0">
                  <c:v>449743</c:v>
                </c:pt>
                <c:pt idx="1">
                  <c:v>436815</c:v>
                </c:pt>
                <c:pt idx="2">
                  <c:v>444523</c:v>
                </c:pt>
                <c:pt idx="3">
                  <c:v>433937</c:v>
                </c:pt>
                <c:pt idx="4">
                  <c:v>389958</c:v>
                </c:pt>
                <c:pt idx="5">
                  <c:v>403446</c:v>
                </c:pt>
                <c:pt idx="6">
                  <c:v>423921</c:v>
                </c:pt>
                <c:pt idx="7">
                  <c:v>389624</c:v>
                </c:pt>
                <c:pt idx="8">
                  <c:v>418591</c:v>
                </c:pt>
                <c:pt idx="9">
                  <c:v>438288</c:v>
                </c:pt>
                <c:pt idx="10">
                  <c:v>422841</c:v>
                </c:pt>
                <c:pt idx="11">
                  <c:v>476935</c:v>
                </c:pt>
                <c:pt idx="12">
                  <c:v>542047</c:v>
                </c:pt>
                <c:pt idx="13">
                  <c:v>582197</c:v>
                </c:pt>
                <c:pt idx="14">
                  <c:v>516497</c:v>
                </c:pt>
                <c:pt idx="15">
                  <c:v>523227</c:v>
                </c:pt>
                <c:pt idx="16">
                  <c:v>467217</c:v>
                </c:pt>
                <c:pt idx="17">
                  <c:v>499644</c:v>
                </c:pt>
                <c:pt idx="18">
                  <c:v>430876</c:v>
                </c:pt>
                <c:pt idx="19">
                  <c:v>456549</c:v>
                </c:pt>
                <c:pt idx="20">
                  <c:v>430988</c:v>
                </c:pt>
                <c:pt idx="21">
                  <c:v>426555</c:v>
                </c:pt>
                <c:pt idx="22">
                  <c:v>398156</c:v>
                </c:pt>
                <c:pt idx="23">
                  <c:v>396776</c:v>
                </c:pt>
                <c:pt idx="24">
                  <c:v>390708</c:v>
                </c:pt>
                <c:pt idx="25">
                  <c:v>383690</c:v>
                </c:pt>
                <c:pt idx="26">
                  <c:v>391363</c:v>
                </c:pt>
                <c:pt idx="27">
                  <c:v>374281</c:v>
                </c:pt>
                <c:pt idx="28">
                  <c:v>387002</c:v>
                </c:pt>
                <c:pt idx="29">
                  <c:v>369484</c:v>
                </c:pt>
                <c:pt idx="30">
                  <c:v>366082</c:v>
                </c:pt>
                <c:pt idx="31">
                  <c:v>377392</c:v>
                </c:pt>
                <c:pt idx="32">
                  <c:v>375575</c:v>
                </c:pt>
                <c:pt idx="33">
                  <c:v>382262</c:v>
                </c:pt>
                <c:pt idx="34">
                  <c:v>394118</c:v>
                </c:pt>
                <c:pt idx="35">
                  <c:v>393019</c:v>
                </c:pt>
                <c:pt idx="36">
                  <c:v>428746</c:v>
                </c:pt>
                <c:pt idx="37">
                  <c:v>425158</c:v>
                </c:pt>
                <c:pt idx="38">
                  <c:v>422096</c:v>
                </c:pt>
                <c:pt idx="39">
                  <c:v>433280</c:v>
                </c:pt>
                <c:pt idx="40">
                  <c:v>433280</c:v>
                </c:pt>
                <c:pt idx="41">
                  <c:v>433280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350000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Egg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cat>
            <c:numRef>
              <c:f xml:space="preserve">'Granger 1'!$A$2:$A$43</c:f>
              <c:numCache>
                <c:formatCode>General</c:formatCode>
                <c:ptCount val="42"/>
                <c:pt idx="0">
                  <c:v>1931</c:v>
                </c:pt>
                <c:pt idx="1">
                  <c:v>1932</c:v>
                </c:pt>
                <c:pt idx="2">
                  <c:v>1933</c:v>
                </c:pt>
                <c:pt idx="3">
                  <c:v>1934</c:v>
                </c:pt>
                <c:pt idx="4">
                  <c:v>1935</c:v>
                </c:pt>
                <c:pt idx="5">
                  <c:v>1936</c:v>
                </c:pt>
                <c:pt idx="6">
                  <c:v>1937</c:v>
                </c:pt>
                <c:pt idx="7">
                  <c:v>1938</c:v>
                </c:pt>
                <c:pt idx="8">
                  <c:v>1939</c:v>
                </c:pt>
                <c:pt idx="9">
                  <c:v>1940</c:v>
                </c:pt>
                <c:pt idx="10">
                  <c:v>1941</c:v>
                </c:pt>
                <c:pt idx="11">
                  <c:v>1942</c:v>
                </c:pt>
                <c:pt idx="12">
                  <c:v>1943</c:v>
                </c:pt>
                <c:pt idx="13">
                  <c:v>1944</c:v>
                </c:pt>
                <c:pt idx="14">
                  <c:v>1945</c:v>
                </c:pt>
                <c:pt idx="15">
                  <c:v>1946</c:v>
                </c:pt>
                <c:pt idx="16">
                  <c:v>1947</c:v>
                </c:pt>
                <c:pt idx="17">
                  <c:v>1948</c:v>
                </c:pt>
                <c:pt idx="18">
                  <c:v>1949</c:v>
                </c:pt>
                <c:pt idx="19">
                  <c:v>1950</c:v>
                </c:pt>
                <c:pt idx="20">
                  <c:v>1951</c:v>
                </c:pt>
                <c:pt idx="21">
                  <c:v>1952</c:v>
                </c:pt>
                <c:pt idx="22">
                  <c:v>1953</c:v>
                </c:pt>
                <c:pt idx="23">
                  <c:v>1954</c:v>
                </c:pt>
                <c:pt idx="24">
                  <c:v>1955</c:v>
                </c:pt>
                <c:pt idx="25">
                  <c:v>1956</c:v>
                </c:pt>
                <c:pt idx="26">
                  <c:v>1957</c:v>
                </c:pt>
                <c:pt idx="27">
                  <c:v>1958</c:v>
                </c:pt>
                <c:pt idx="28">
                  <c:v>1959</c:v>
                </c:pt>
                <c:pt idx="29">
                  <c:v>1960</c:v>
                </c:pt>
                <c:pt idx="30">
                  <c:v>1961</c:v>
                </c:pt>
                <c:pt idx="31">
                  <c:v>1962</c:v>
                </c:pt>
                <c:pt idx="32">
                  <c:v>1963</c:v>
                </c:pt>
                <c:pt idx="33">
                  <c:v>1964</c:v>
                </c:pt>
                <c:pt idx="34">
                  <c:v>1965</c:v>
                </c:pt>
                <c:pt idx="35">
                  <c:v>1966</c:v>
                </c:pt>
                <c:pt idx="36">
                  <c:v>1967</c:v>
                </c:pt>
                <c:pt idx="37">
                  <c:v>1968</c:v>
                </c:pt>
                <c:pt idx="38">
                  <c:v>1969</c:v>
                </c:pt>
                <c:pt idx="39">
                  <c:v>1970</c:v>
                </c:pt>
                <c:pt idx="40">
                  <c:v>1970</c:v>
                </c:pt>
                <c:pt idx="41">
                  <c:v>1970</c:v>
                </c:pt>
              </c:numCache>
            </c:numRef>
          </c:cat>
          <c:val>
            <c:numRef>
              <c:f xml:space="preserve">'Granger 1'!$C$2:$C$43</c:f>
              <c:numCache>
                <c:formatCode>General</c:formatCode>
                <c:ptCount val="42"/>
                <c:pt idx="0">
                  <c:v>3532</c:v>
                </c:pt>
                <c:pt idx="1">
                  <c:v>3327</c:v>
                </c:pt>
                <c:pt idx="2">
                  <c:v>3255</c:v>
                </c:pt>
                <c:pt idx="3">
                  <c:v>3156</c:v>
                </c:pt>
                <c:pt idx="4">
                  <c:v>3081</c:v>
                </c:pt>
                <c:pt idx="5">
                  <c:v>3166</c:v>
                </c:pt>
                <c:pt idx="6">
                  <c:v>3443</c:v>
                </c:pt>
                <c:pt idx="7">
                  <c:v>3424</c:v>
                </c:pt>
                <c:pt idx="8">
                  <c:v>3561</c:v>
                </c:pt>
                <c:pt idx="9">
                  <c:v>3640</c:v>
                </c:pt>
                <c:pt idx="10">
                  <c:v>3840</c:v>
                </c:pt>
                <c:pt idx="11">
                  <c:v>4456</c:v>
                </c:pt>
                <c:pt idx="12">
                  <c:v>5000</c:v>
                </c:pt>
                <c:pt idx="13">
                  <c:v>5366</c:v>
                </c:pt>
                <c:pt idx="14">
                  <c:v>5154</c:v>
                </c:pt>
                <c:pt idx="15">
                  <c:v>5130</c:v>
                </c:pt>
                <c:pt idx="16">
                  <c:v>5077</c:v>
                </c:pt>
                <c:pt idx="17">
                  <c:v>5032</c:v>
                </c:pt>
                <c:pt idx="18">
                  <c:v>5148</c:v>
                </c:pt>
                <c:pt idx="19">
                  <c:v>5404</c:v>
                </c:pt>
                <c:pt idx="20">
                  <c:v>5322</c:v>
                </c:pt>
                <c:pt idx="21">
                  <c:v>5323</c:v>
                </c:pt>
                <c:pt idx="22">
                  <c:v>5307</c:v>
                </c:pt>
                <c:pt idx="23">
                  <c:v>5402</c:v>
                </c:pt>
                <c:pt idx="24">
                  <c:v>5407</c:v>
                </c:pt>
                <c:pt idx="25">
                  <c:v>5500</c:v>
                </c:pt>
                <c:pt idx="26">
                  <c:v>5442</c:v>
                </c:pt>
                <c:pt idx="27">
                  <c:v>5442</c:v>
                </c:pt>
                <c:pt idx="28">
                  <c:v>5542</c:v>
                </c:pt>
                <c:pt idx="29">
                  <c:v>5339</c:v>
                </c:pt>
                <c:pt idx="30">
                  <c:v>5358</c:v>
                </c:pt>
                <c:pt idx="31">
                  <c:v>5403</c:v>
                </c:pt>
                <c:pt idx="32">
                  <c:v>5345</c:v>
                </c:pt>
                <c:pt idx="33">
                  <c:v>5435</c:v>
                </c:pt>
                <c:pt idx="34">
                  <c:v>5474</c:v>
                </c:pt>
                <c:pt idx="35">
                  <c:v>5540</c:v>
                </c:pt>
                <c:pt idx="36">
                  <c:v>5836</c:v>
                </c:pt>
                <c:pt idx="37">
                  <c:v>5777</c:v>
                </c:pt>
                <c:pt idx="38">
                  <c:v>5629</c:v>
                </c:pt>
                <c:pt idx="39">
                  <c:v>5704</c:v>
                </c:pt>
                <c:pt idx="40">
                  <c:v>5704</c:v>
                </c:pt>
                <c:pt idx="41">
                  <c:v>5704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in val="3000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Chicken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cat>
            <c:numRef>
              <c:f xml:space="preserve">'Granger 2'!$A$2:$A$43</c:f>
              <c:numCache>
                <c:formatCode>General</c:formatCode>
                <c:ptCount val="42"/>
                <c:pt idx="0">
                  <c:v>1931</c:v>
                </c:pt>
                <c:pt idx="1">
                  <c:v>1932</c:v>
                </c:pt>
                <c:pt idx="2">
                  <c:v>1933</c:v>
                </c:pt>
                <c:pt idx="3">
                  <c:v>1934</c:v>
                </c:pt>
                <c:pt idx="4">
                  <c:v>1935</c:v>
                </c:pt>
                <c:pt idx="5">
                  <c:v>1936</c:v>
                </c:pt>
                <c:pt idx="6">
                  <c:v>1937</c:v>
                </c:pt>
                <c:pt idx="7">
                  <c:v>1938</c:v>
                </c:pt>
                <c:pt idx="8">
                  <c:v>1939</c:v>
                </c:pt>
                <c:pt idx="9">
                  <c:v>1940</c:v>
                </c:pt>
                <c:pt idx="10">
                  <c:v>1941</c:v>
                </c:pt>
                <c:pt idx="11">
                  <c:v>1942</c:v>
                </c:pt>
                <c:pt idx="12">
                  <c:v>1943</c:v>
                </c:pt>
                <c:pt idx="13">
                  <c:v>1944</c:v>
                </c:pt>
                <c:pt idx="14">
                  <c:v>1945</c:v>
                </c:pt>
                <c:pt idx="15">
                  <c:v>1946</c:v>
                </c:pt>
                <c:pt idx="16">
                  <c:v>1947</c:v>
                </c:pt>
                <c:pt idx="17">
                  <c:v>1948</c:v>
                </c:pt>
                <c:pt idx="18">
                  <c:v>1949</c:v>
                </c:pt>
                <c:pt idx="19">
                  <c:v>1950</c:v>
                </c:pt>
                <c:pt idx="20">
                  <c:v>1951</c:v>
                </c:pt>
                <c:pt idx="21">
                  <c:v>1952</c:v>
                </c:pt>
                <c:pt idx="22">
                  <c:v>1953</c:v>
                </c:pt>
                <c:pt idx="23">
                  <c:v>1954</c:v>
                </c:pt>
                <c:pt idx="24">
                  <c:v>1955</c:v>
                </c:pt>
                <c:pt idx="25">
                  <c:v>1956</c:v>
                </c:pt>
                <c:pt idx="26">
                  <c:v>1957</c:v>
                </c:pt>
                <c:pt idx="27">
                  <c:v>1958</c:v>
                </c:pt>
                <c:pt idx="28">
                  <c:v>1959</c:v>
                </c:pt>
                <c:pt idx="29">
                  <c:v>1960</c:v>
                </c:pt>
                <c:pt idx="30">
                  <c:v>1961</c:v>
                </c:pt>
                <c:pt idx="31">
                  <c:v>1962</c:v>
                </c:pt>
                <c:pt idx="32">
                  <c:v>1963</c:v>
                </c:pt>
                <c:pt idx="33">
                  <c:v>1964</c:v>
                </c:pt>
                <c:pt idx="34">
                  <c:v>1965</c:v>
                </c:pt>
                <c:pt idx="35">
                  <c:v>1966</c:v>
                </c:pt>
                <c:pt idx="36">
                  <c:v>1967</c:v>
                </c:pt>
                <c:pt idx="37">
                  <c:v>1968</c:v>
                </c:pt>
                <c:pt idx="38">
                  <c:v>1969</c:v>
                </c:pt>
                <c:pt idx="39">
                  <c:v>1970</c:v>
                </c:pt>
                <c:pt idx="40">
                  <c:v>1970</c:v>
                </c:pt>
                <c:pt idx="41">
                  <c:v>1970</c:v>
                </c:pt>
              </c:numCache>
            </c:numRef>
          </c:cat>
          <c:val>
            <c:numRef>
              <c:f xml:space="preserve">'Granger 2'!$B$2:$B$43</c:f>
              <c:numCache>
                <c:formatCode>General</c:formatCode>
                <c:ptCount val="42"/>
                <c:pt idx="0">
                  <c:v>1970</c:v>
                </c:pt>
                <c:pt idx="1">
                  <c:v>-12928</c:v>
                </c:pt>
                <c:pt idx="2">
                  <c:v>7708</c:v>
                </c:pt>
                <c:pt idx="3">
                  <c:v>-10586</c:v>
                </c:pt>
                <c:pt idx="4">
                  <c:v>-43979</c:v>
                </c:pt>
                <c:pt idx="5">
                  <c:v>13488</c:v>
                </c:pt>
                <c:pt idx="6">
                  <c:v>20475</c:v>
                </c:pt>
                <c:pt idx="7">
                  <c:v>-34297</c:v>
                </c:pt>
                <c:pt idx="8">
                  <c:v>28967</c:v>
                </c:pt>
                <c:pt idx="9">
                  <c:v>19697</c:v>
                </c:pt>
                <c:pt idx="10">
                  <c:v>-15447</c:v>
                </c:pt>
                <c:pt idx="11">
                  <c:v>54094</c:v>
                </c:pt>
                <c:pt idx="12">
                  <c:v>65112</c:v>
                </c:pt>
                <c:pt idx="13">
                  <c:v>40150</c:v>
                </c:pt>
                <c:pt idx="14">
                  <c:v>-65700</c:v>
                </c:pt>
                <c:pt idx="15">
                  <c:v>6730</c:v>
                </c:pt>
                <c:pt idx="16">
                  <c:v>-56010</c:v>
                </c:pt>
                <c:pt idx="17">
                  <c:v>32427</c:v>
                </c:pt>
                <c:pt idx="18">
                  <c:v>-68768</c:v>
                </c:pt>
                <c:pt idx="19">
                  <c:v>25673</c:v>
                </c:pt>
                <c:pt idx="20">
                  <c:v>-25561</c:v>
                </c:pt>
                <c:pt idx="21">
                  <c:v>-4433</c:v>
                </c:pt>
                <c:pt idx="22">
                  <c:v>-28399</c:v>
                </c:pt>
                <c:pt idx="23">
                  <c:v>-1380</c:v>
                </c:pt>
                <c:pt idx="24">
                  <c:v>-6068</c:v>
                </c:pt>
                <c:pt idx="25">
                  <c:v>-7018</c:v>
                </c:pt>
                <c:pt idx="26">
                  <c:v>7673</c:v>
                </c:pt>
                <c:pt idx="27">
                  <c:v>-17082</c:v>
                </c:pt>
                <c:pt idx="28">
                  <c:v>12721</c:v>
                </c:pt>
                <c:pt idx="29">
                  <c:v>-17518</c:v>
                </c:pt>
                <c:pt idx="30">
                  <c:v>-3402</c:v>
                </c:pt>
                <c:pt idx="31">
                  <c:v>11310</c:v>
                </c:pt>
                <c:pt idx="32">
                  <c:v>-1817</c:v>
                </c:pt>
                <c:pt idx="33">
                  <c:v>6687</c:v>
                </c:pt>
                <c:pt idx="34">
                  <c:v>11856</c:v>
                </c:pt>
                <c:pt idx="35">
                  <c:v>-1099</c:v>
                </c:pt>
                <c:pt idx="36">
                  <c:v>35727</c:v>
                </c:pt>
                <c:pt idx="37">
                  <c:v>-3588</c:v>
                </c:pt>
                <c:pt idx="38">
                  <c:v>-3062</c:v>
                </c:pt>
                <c:pt idx="39">
                  <c:v>11184</c:v>
                </c:pt>
                <c:pt idx="40">
                  <c:v>11184</c:v>
                </c:pt>
                <c:pt idx="41">
                  <c:v>11184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ax val="70000.000000"/>
          <c:min val="-70000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Egg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circle"/>
            <c:size val="5"/>
            <c:spPr bwMode="auto">
              <a:prstGeom prst="rect">
                <a:avLst/>
              </a:prstGeom>
              <a:solidFill>
                <a:srgbClr val="5B9BD5"/>
              </a:solidFill>
              <a:ln>
                <a:solidFill>
                  <a:srgbClr val="5B9BD5"/>
                </a:solidFill>
              </a:ln>
            </c:spPr>
          </c:marker>
          <c:cat>
            <c:numRef>
              <c:f xml:space="preserve">'Granger 2'!$A$2:$A$43</c:f>
              <c:numCache>
                <c:formatCode>General</c:formatCode>
                <c:ptCount val="42"/>
                <c:pt idx="0">
                  <c:v>1931</c:v>
                </c:pt>
                <c:pt idx="1">
                  <c:v>1932</c:v>
                </c:pt>
                <c:pt idx="2">
                  <c:v>1933</c:v>
                </c:pt>
                <c:pt idx="3">
                  <c:v>1934</c:v>
                </c:pt>
                <c:pt idx="4">
                  <c:v>1935</c:v>
                </c:pt>
                <c:pt idx="5">
                  <c:v>1936</c:v>
                </c:pt>
                <c:pt idx="6">
                  <c:v>1937</c:v>
                </c:pt>
                <c:pt idx="7">
                  <c:v>1938</c:v>
                </c:pt>
                <c:pt idx="8">
                  <c:v>1939</c:v>
                </c:pt>
                <c:pt idx="9">
                  <c:v>1940</c:v>
                </c:pt>
                <c:pt idx="10">
                  <c:v>1941</c:v>
                </c:pt>
                <c:pt idx="11">
                  <c:v>1942</c:v>
                </c:pt>
                <c:pt idx="12">
                  <c:v>1943</c:v>
                </c:pt>
                <c:pt idx="13">
                  <c:v>1944</c:v>
                </c:pt>
                <c:pt idx="14">
                  <c:v>1945</c:v>
                </c:pt>
                <c:pt idx="15">
                  <c:v>1946</c:v>
                </c:pt>
                <c:pt idx="16">
                  <c:v>1947</c:v>
                </c:pt>
                <c:pt idx="17">
                  <c:v>1948</c:v>
                </c:pt>
                <c:pt idx="18">
                  <c:v>1949</c:v>
                </c:pt>
                <c:pt idx="19">
                  <c:v>1950</c:v>
                </c:pt>
                <c:pt idx="20">
                  <c:v>1951</c:v>
                </c:pt>
                <c:pt idx="21">
                  <c:v>1952</c:v>
                </c:pt>
                <c:pt idx="22">
                  <c:v>1953</c:v>
                </c:pt>
                <c:pt idx="23">
                  <c:v>1954</c:v>
                </c:pt>
                <c:pt idx="24">
                  <c:v>1955</c:v>
                </c:pt>
                <c:pt idx="25">
                  <c:v>1956</c:v>
                </c:pt>
                <c:pt idx="26">
                  <c:v>1957</c:v>
                </c:pt>
                <c:pt idx="27">
                  <c:v>1958</c:v>
                </c:pt>
                <c:pt idx="28">
                  <c:v>1959</c:v>
                </c:pt>
                <c:pt idx="29">
                  <c:v>1960</c:v>
                </c:pt>
                <c:pt idx="30">
                  <c:v>1961</c:v>
                </c:pt>
                <c:pt idx="31">
                  <c:v>1962</c:v>
                </c:pt>
                <c:pt idx="32">
                  <c:v>1963</c:v>
                </c:pt>
                <c:pt idx="33">
                  <c:v>1964</c:v>
                </c:pt>
                <c:pt idx="34">
                  <c:v>1965</c:v>
                </c:pt>
                <c:pt idx="35">
                  <c:v>1966</c:v>
                </c:pt>
                <c:pt idx="36">
                  <c:v>1967</c:v>
                </c:pt>
                <c:pt idx="37">
                  <c:v>1968</c:v>
                </c:pt>
                <c:pt idx="38">
                  <c:v>1969</c:v>
                </c:pt>
                <c:pt idx="39">
                  <c:v>1970</c:v>
                </c:pt>
                <c:pt idx="40">
                  <c:v>1970</c:v>
                </c:pt>
                <c:pt idx="41">
                  <c:v>1970</c:v>
                </c:pt>
              </c:numCache>
            </c:numRef>
          </c:cat>
          <c:val>
            <c:numRef>
              <c:f xml:space="preserve">'Granger 2'!$C$3:$C$41</c:f>
              <c:numCache>
                <c:formatCode>General</c:formatCode>
                <c:ptCount val="39"/>
                <c:pt idx="0">
                  <c:v>-205</c:v>
                </c:pt>
                <c:pt idx="1">
                  <c:v>-72</c:v>
                </c:pt>
                <c:pt idx="2">
                  <c:v>-99</c:v>
                </c:pt>
                <c:pt idx="3">
                  <c:v>-75</c:v>
                </c:pt>
                <c:pt idx="4">
                  <c:v>85</c:v>
                </c:pt>
                <c:pt idx="5">
                  <c:v>277</c:v>
                </c:pt>
                <c:pt idx="6">
                  <c:v>-19</c:v>
                </c:pt>
                <c:pt idx="7">
                  <c:v>137</c:v>
                </c:pt>
                <c:pt idx="8">
                  <c:v>79</c:v>
                </c:pt>
                <c:pt idx="9">
                  <c:v>200</c:v>
                </c:pt>
                <c:pt idx="10">
                  <c:v>616</c:v>
                </c:pt>
                <c:pt idx="11">
                  <c:v>544</c:v>
                </c:pt>
                <c:pt idx="12">
                  <c:v>366</c:v>
                </c:pt>
                <c:pt idx="13">
                  <c:v>-212</c:v>
                </c:pt>
                <c:pt idx="14">
                  <c:v>-24</c:v>
                </c:pt>
                <c:pt idx="15">
                  <c:v>-53</c:v>
                </c:pt>
                <c:pt idx="16">
                  <c:v>-45</c:v>
                </c:pt>
                <c:pt idx="17">
                  <c:v>116</c:v>
                </c:pt>
                <c:pt idx="18">
                  <c:v>256</c:v>
                </c:pt>
                <c:pt idx="19">
                  <c:v>-82</c:v>
                </c:pt>
                <c:pt idx="20">
                  <c:v>1</c:v>
                </c:pt>
                <c:pt idx="21">
                  <c:v>-16</c:v>
                </c:pt>
                <c:pt idx="22">
                  <c:v>95</c:v>
                </c:pt>
                <c:pt idx="23">
                  <c:v>5</c:v>
                </c:pt>
                <c:pt idx="24">
                  <c:v>93</c:v>
                </c:pt>
                <c:pt idx="25">
                  <c:v>-58</c:v>
                </c:pt>
                <c:pt idx="26">
                  <c:v>0</c:v>
                </c:pt>
                <c:pt idx="27">
                  <c:v>100</c:v>
                </c:pt>
                <c:pt idx="28">
                  <c:v>-203</c:v>
                </c:pt>
                <c:pt idx="29">
                  <c:v>19</c:v>
                </c:pt>
                <c:pt idx="30">
                  <c:v>45</c:v>
                </c:pt>
                <c:pt idx="31">
                  <c:v>-58</c:v>
                </c:pt>
                <c:pt idx="32">
                  <c:v>90</c:v>
                </c:pt>
                <c:pt idx="33">
                  <c:v>39</c:v>
                </c:pt>
                <c:pt idx="34">
                  <c:v>66</c:v>
                </c:pt>
                <c:pt idx="35">
                  <c:v>296</c:v>
                </c:pt>
                <c:pt idx="36">
                  <c:v>-59</c:v>
                </c:pt>
                <c:pt idx="37">
                  <c:v>-148</c:v>
                </c:pt>
                <c:pt idx="38">
                  <c:v>75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marker val="1"/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ax val="650.000000"/>
          <c:min val="-250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Oil Price Comparison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Engle!$B$1</c:f>
              <c:strCache>
                <c:ptCount val="1"/>
                <c:pt idx="0">
                  <c:v>WTI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Engle!$B$2:$B$505</c:f>
              <c:numCache>
                <c:formatCode>General</c:formatCode>
                <c:ptCount val="504"/>
                <c:pt idx="0">
                  <c:v>46.17</c:v>
                </c:pt>
                <c:pt idx="1">
                  <c:v>48.61</c:v>
                </c:pt>
                <c:pt idx="2">
                  <c:v>48.56</c:v>
                </c:pt>
                <c:pt idx="3">
                  <c:v>42.75</c:v>
                </c:pt>
                <c:pt idx="4">
                  <c:v>41.68</c:v>
                </c:pt>
                <c:pt idx="5">
                  <c:v>40.69</c:v>
                </c:pt>
                <c:pt idx="6">
                  <c:v>37.65</c:v>
                </c:pt>
                <c:pt idx="7">
                  <c:v>37.77</c:v>
                </c:pt>
                <c:pt idx="8">
                  <c:v>37.43</c:v>
                </c:pt>
                <c:pt idx="9">
                  <c:v>35.41</c:v>
                </c:pt>
                <c:pt idx="10">
                  <c:v>35.38</c:v>
                </c:pt>
                <c:pt idx="11">
                  <c:v>38.57</c:v>
                </c:pt>
                <c:pt idx="12">
                  <c:v>42.56</c:v>
                </c:pt>
                <c:pt idx="13">
                  <c:v>42.33</c:v>
                </c:pt>
                <c:pt idx="14">
                  <c:v>45.12</c:v>
                </c:pt>
                <c:pt idx="15">
                  <c:v>46.5</c:v>
                </c:pt>
                <c:pt idx="16">
                  <c:v>41.67</c:v>
                </c:pt>
                <c:pt idx="17">
                  <c:v>42.04</c:v>
                </c:pt>
                <c:pt idx="18">
                  <c:v>41.58</c:v>
                </c:pt>
                <c:pt idx="19">
                  <c:v>41.73</c:v>
                </c:pt>
                <c:pt idx="20">
                  <c:v>41.35</c:v>
                </c:pt>
                <c:pt idx="21">
                  <c:v>40.87</c:v>
                </c:pt>
                <c:pt idx="22">
                  <c:v>40.27</c:v>
                </c:pt>
                <c:pt idx="23">
                  <c:v>41.15</c:v>
                </c:pt>
                <c:pt idx="24">
                  <c:v>40.24</c:v>
                </c:pt>
                <c:pt idx="25">
                  <c:v>39.58</c:v>
                </c:pt>
                <c:pt idx="26">
                  <c:v>37.54</c:v>
                </c:pt>
                <c:pt idx="27">
                  <c:v>35.93</c:v>
                </c:pt>
                <c:pt idx="28">
                  <c:v>34.03</c:v>
                </c:pt>
                <c:pt idx="29">
                  <c:v>37.63</c:v>
                </c:pt>
                <c:pt idx="30">
                  <c:v>34.96</c:v>
                </c:pt>
                <c:pt idx="31">
                  <c:v>34.67</c:v>
                </c:pt>
                <c:pt idx="32">
                  <c:v>39.6</c:v>
                </c:pt>
                <c:pt idx="33">
                  <c:v>39.35</c:v>
                </c:pt>
                <c:pt idx="34">
                  <c:v>37.66</c:v>
                </c:pt>
                <c:pt idx="35">
                  <c:v>38.86</c:v>
                </c:pt>
                <c:pt idx="36">
                  <c:v>41.64</c:v>
                </c:pt>
                <c:pt idx="37">
                  <c:v>43.18</c:v>
                </c:pt>
                <c:pt idx="38">
                  <c:v>44.15</c:v>
                </c:pt>
                <c:pt idx="39">
                  <c:v>40.07</c:v>
                </c:pt>
                <c:pt idx="40">
                  <c:v>41.57</c:v>
                </c:pt>
                <c:pt idx="41">
                  <c:v>45.28</c:v>
                </c:pt>
                <c:pt idx="42">
                  <c:v>43.54</c:v>
                </c:pt>
                <c:pt idx="43">
                  <c:v>45.43</c:v>
                </c:pt>
                <c:pt idx="44">
                  <c:v>47.01</c:v>
                </c:pt>
                <c:pt idx="45">
                  <c:v>45.68</c:v>
                </c:pt>
                <c:pt idx="46">
                  <c:v>42.46</c:v>
                </c:pt>
                <c:pt idx="47">
                  <c:v>46.91</c:v>
                </c:pt>
                <c:pt idx="48">
                  <c:v>46.22</c:v>
                </c:pt>
                <c:pt idx="49">
                  <c:v>47.33</c:v>
                </c:pt>
                <c:pt idx="50">
                  <c:v>48.97</c:v>
                </c:pt>
                <c:pt idx="51">
                  <c:v>48.12</c:v>
                </c:pt>
                <c:pt idx="52">
                  <c:v>51.46</c:v>
                </c:pt>
                <c:pt idx="53">
                  <c:v>51.55</c:v>
                </c:pt>
                <c:pt idx="54">
                  <c:v>53.05</c:v>
                </c:pt>
                <c:pt idx="55">
                  <c:v>53.36</c:v>
                </c:pt>
                <c:pt idx="56">
                  <c:v>52.24</c:v>
                </c:pt>
                <c:pt idx="57">
                  <c:v>53.87</c:v>
                </c:pt>
                <c:pt idx="58">
                  <c:v>52.41</c:v>
                </c:pt>
                <c:pt idx="59">
                  <c:v>48.49</c:v>
                </c:pt>
                <c:pt idx="60">
                  <c:v>49.64</c:v>
                </c:pt>
                <c:pt idx="61">
                  <c:v>48.46</c:v>
                </c:pt>
                <c:pt idx="62">
                  <c:v>52.61</c:v>
                </c:pt>
                <c:pt idx="63">
                  <c:v>52.52</c:v>
                </c:pt>
                <c:pt idx="64">
                  <c:v>51.1</c:v>
                </c:pt>
                <c:pt idx="65">
                  <c:v>49.13</c:v>
                </c:pt>
                <c:pt idx="66">
                  <c:v>49.37</c:v>
                </c:pt>
                <c:pt idx="67">
                  <c:v>52.24</c:v>
                </c:pt>
                <c:pt idx="68">
                  <c:v>50.22</c:v>
                </c:pt>
                <c:pt idx="69">
                  <c:v>49.51</c:v>
                </c:pt>
                <c:pt idx="70">
                  <c:v>49.26</c:v>
                </c:pt>
                <c:pt idx="71">
                  <c:v>49.97</c:v>
                </c:pt>
                <c:pt idx="72">
                  <c:v>50.36</c:v>
                </c:pt>
                <c:pt idx="73">
                  <c:v>45.82</c:v>
                </c:pt>
                <c:pt idx="74">
                  <c:v>46.65</c:v>
                </c:pt>
                <c:pt idx="75">
                  <c:v>47.41</c:v>
                </c:pt>
                <c:pt idx="76">
                  <c:v>48.46</c:v>
                </c:pt>
                <c:pt idx="77">
                  <c:v>50.65</c:v>
                </c:pt>
                <c:pt idx="78">
                  <c:v>49.29</c:v>
                </c:pt>
                <c:pt idx="79">
                  <c:v>49.01</c:v>
                </c:pt>
                <c:pt idx="80">
                  <c:v>50.19</c:v>
                </c:pt>
                <c:pt idx="81">
                  <c:v>50.35</c:v>
                </c:pt>
                <c:pt idx="82">
                  <c:v>52.18</c:v>
                </c:pt>
                <c:pt idx="83">
                  <c:v>54.45</c:v>
                </c:pt>
                <c:pt idx="84">
                  <c:v>53.81</c:v>
                </c:pt>
                <c:pt idx="85">
                  <c:v>56.29</c:v>
                </c:pt>
                <c:pt idx="86">
                  <c:v>56.67</c:v>
                </c:pt>
                <c:pt idx="87">
                  <c:v>58.58</c:v>
                </c:pt>
                <c:pt idx="88">
                  <c:v>57.79</c:v>
                </c:pt>
                <c:pt idx="89">
                  <c:v>58.81</c:v>
                </c:pt>
                <c:pt idx="90">
                  <c:v>58</c:v>
                </c:pt>
                <c:pt idx="91">
                  <c:v>58.58</c:v>
                </c:pt>
                <c:pt idx="92">
                  <c:v>56.52</c:v>
                </c:pt>
                <c:pt idx="93">
                  <c:v>58.99</c:v>
                </c:pt>
                <c:pt idx="94">
                  <c:v>59.52</c:v>
                </c:pt>
                <c:pt idx="95">
                  <c:v>61.45</c:v>
                </c:pt>
                <c:pt idx="96">
                  <c:v>60.49</c:v>
                </c:pt>
                <c:pt idx="97">
                  <c:v>61.15</c:v>
                </c:pt>
                <c:pt idx="98">
                  <c:v>62.48</c:v>
                </c:pt>
                <c:pt idx="99">
                  <c:v>63.41</c:v>
                </c:pt>
                <c:pt idx="100">
                  <c:v>65.09</c:v>
                </c:pt>
                <c:pt idx="101">
                  <c:v>66.31</c:v>
                </c:pt>
                <c:pt idx="102">
                  <c:v>68.59</c:v>
                </c:pt>
                <c:pt idx="103">
                  <c:v>68.58</c:v>
                </c:pt>
                <c:pt idx="104">
                  <c:v>66.14</c:v>
                </c:pt>
                <c:pt idx="105">
                  <c:v>68.8</c:v>
                </c:pt>
                <c:pt idx="106">
                  <c:v>68.43</c:v>
                </c:pt>
                <c:pt idx="107">
                  <c:v>68.05</c:v>
                </c:pt>
                <c:pt idx="108">
                  <c:v>70.02</c:v>
                </c:pt>
                <c:pt idx="109">
                  <c:v>71.38</c:v>
                </c:pt>
                <c:pt idx="110">
                  <c:v>72.69</c:v>
                </c:pt>
                <c:pt idx="111">
                  <c:v>72.13</c:v>
                </c:pt>
                <c:pt idx="112">
                  <c:v>70.54</c:v>
                </c:pt>
                <c:pt idx="113">
                  <c:v>70.47</c:v>
                </c:pt>
                <c:pt idx="114">
                  <c:v>71.07</c:v>
                </c:pt>
                <c:pt idx="115">
                  <c:v>71.42</c:v>
                </c:pt>
                <c:pt idx="116">
                  <c:v>69.6</c:v>
                </c:pt>
                <c:pt idx="117">
                  <c:v>67.09</c:v>
                </c:pt>
                <c:pt idx="118">
                  <c:v>68.81</c:v>
                </c:pt>
                <c:pt idx="119">
                  <c:v>68.14</c:v>
                </c:pt>
                <c:pt idx="120">
                  <c:v>69.7</c:v>
                </c:pt>
                <c:pt idx="121">
                  <c:v>69.16</c:v>
                </c:pt>
                <c:pt idx="122">
                  <c:v>71.47</c:v>
                </c:pt>
                <c:pt idx="123">
                  <c:v>69.82</c:v>
                </c:pt>
                <c:pt idx="124">
                  <c:v>69.32</c:v>
                </c:pt>
                <c:pt idx="125">
                  <c:v>66.68</c:v>
                </c:pt>
                <c:pt idx="126">
                  <c:v>64.06</c:v>
                </c:pt>
                <c:pt idx="127">
                  <c:v>62.88</c:v>
                </c:pt>
                <c:pt idx="128">
                  <c:v>60.15</c:v>
                </c:pt>
                <c:pt idx="129">
                  <c:v>60.36</c:v>
                </c:pt>
                <c:pt idx="130">
                  <c:v>59.93</c:v>
                </c:pt>
                <c:pt idx="131">
                  <c:v>59.69</c:v>
                </c:pt>
                <c:pt idx="132">
                  <c:v>59.62</c:v>
                </c:pt>
                <c:pt idx="133">
                  <c:v>61.49</c:v>
                </c:pt>
                <c:pt idx="134">
                  <c:v>62.07</c:v>
                </c:pt>
                <c:pt idx="135">
                  <c:v>63.56</c:v>
                </c:pt>
                <c:pt idx="136">
                  <c:v>63.93</c:v>
                </c:pt>
                <c:pt idx="137">
                  <c:v>64.81</c:v>
                </c:pt>
                <c:pt idx="138">
                  <c:v>64.58</c:v>
                </c:pt>
                <c:pt idx="139">
                  <c:v>66.1</c:v>
                </c:pt>
                <c:pt idx="140">
                  <c:v>66.96</c:v>
                </c:pt>
                <c:pt idx="141">
                  <c:v>68.34</c:v>
                </c:pt>
                <c:pt idx="142">
                  <c:v>67.24</c:v>
                </c:pt>
                <c:pt idx="143">
                  <c:v>63.42</c:v>
                </c:pt>
                <c:pt idx="144">
                  <c:v>66.9</c:v>
                </c:pt>
                <c:pt idx="145">
                  <c:v>69.26</c:v>
                </c:pt>
                <c:pt idx="146">
                  <c:v>71.59</c:v>
                </c:pt>
                <c:pt idx="147">
                  <c:v>71.4</c:v>
                </c:pt>
                <c:pt idx="148">
                  <c:v>71.97</c:v>
                </c:pt>
                <c:pt idx="149">
                  <c:v>71.96</c:v>
                </c:pt>
                <c:pt idx="150">
                  <c:v>70.97</c:v>
                </c:pt>
                <c:pt idx="151">
                  <c:v>70.59</c:v>
                </c:pt>
                <c:pt idx="152">
                  <c:v>69.46</c:v>
                </c:pt>
                <c:pt idx="153">
                  <c:v>70.08</c:v>
                </c:pt>
                <c:pt idx="154">
                  <c:v>70.57</c:v>
                </c:pt>
                <c:pt idx="155">
                  <c:v>67.51</c:v>
                </c:pt>
                <c:pt idx="156">
                  <c:v>66.72</c:v>
                </c:pt>
                <c:pt idx="157">
                  <c:v>69.22</c:v>
                </c:pt>
                <c:pt idx="158">
                  <c:v>72.54</c:v>
                </c:pt>
                <c:pt idx="159">
                  <c:v>72.4</c:v>
                </c:pt>
                <c:pt idx="160">
                  <c:v>73.12</c:v>
                </c:pt>
                <c:pt idx="161">
                  <c:v>73.68</c:v>
                </c:pt>
                <c:pt idx="162">
                  <c:v>71.6</c:v>
                </c:pt>
                <c:pt idx="163">
                  <c:v>71.38</c:v>
                </c:pt>
                <c:pt idx="164">
                  <c:v>72.49</c:v>
                </c:pt>
                <c:pt idx="165">
                  <c:v>72.72</c:v>
                </c:pt>
                <c:pt idx="166">
                  <c:v>69.97</c:v>
                </c:pt>
                <c:pt idx="167">
                  <c:v>68.11</c:v>
                </c:pt>
                <c:pt idx="168">
                  <c:v>68.03</c:v>
                </c:pt>
                <c:pt idx="169">
                  <c:v>67.9</c:v>
                </c:pt>
                <c:pt idx="170">
                  <c:v>67.95</c:v>
                </c:pt>
                <c:pt idx="171">
                  <c:v>71.08</c:v>
                </c:pt>
                <c:pt idx="172">
                  <c:v>71.27</c:v>
                </c:pt>
                <c:pt idx="173">
                  <c:v>71.95</c:v>
                </c:pt>
                <c:pt idx="174">
                  <c:v>69.34</c:v>
                </c:pt>
                <c:pt idx="175">
                  <c:v>68.86</c:v>
                </c:pt>
                <c:pt idx="176">
                  <c:v>70.81</c:v>
                </c:pt>
                <c:pt idx="177">
                  <c:v>72.5</c:v>
                </c:pt>
                <c:pt idx="178">
                  <c:v>72.48</c:v>
                </c:pt>
                <c:pt idx="179">
                  <c:v>71.95</c:v>
                </c:pt>
                <c:pt idx="180">
                  <c:v>69.74</c:v>
                </c:pt>
                <c:pt idx="181">
                  <c:v>71.5</c:v>
                </c:pt>
                <c:pt idx="182">
                  <c:v>68.74</c:v>
                </c:pt>
                <c:pt idx="183">
                  <c:v>65.74</c:v>
                </c:pt>
                <c:pt idx="184">
                  <c:v>65.91</c:v>
                </c:pt>
                <c:pt idx="185">
                  <c:v>66.69</c:v>
                </c:pt>
                <c:pt idx="186">
                  <c:v>66.56</c:v>
                </c:pt>
                <c:pt idx="187">
                  <c:v>70.46</c:v>
                </c:pt>
                <c:pt idx="188">
                  <c:v>70.67</c:v>
                </c:pt>
                <c:pt idx="189">
                  <c:v>69.8</c:v>
                </c:pt>
                <c:pt idx="190">
                  <c:v>70.26</c:v>
                </c:pt>
                <c:pt idx="191">
                  <c:v>70.71</c:v>
                </c:pt>
                <c:pt idx="192">
                  <c:v>69.6</c:v>
                </c:pt>
                <c:pt idx="193">
                  <c:v>71.69</c:v>
                </c:pt>
                <c:pt idx="194">
                  <c:v>71.75</c:v>
                </c:pt>
                <c:pt idx="195">
                  <c:v>73.24</c:v>
                </c:pt>
                <c:pt idx="196">
                  <c:v>74.1</c:v>
                </c:pt>
                <c:pt idx="197">
                  <c:v>75.2</c:v>
                </c:pt>
                <c:pt idx="198">
                  <c:v>77.55</c:v>
                </c:pt>
                <c:pt idx="199">
                  <c:v>78.54</c:v>
                </c:pt>
                <c:pt idx="200">
                  <c:v>79.47</c:v>
                </c:pt>
                <c:pt idx="201">
                  <c:v>78.87</c:v>
                </c:pt>
                <c:pt idx="202">
                  <c:v>81.03</c:v>
                </c:pt>
                <c:pt idx="203">
                  <c:v>80.82</c:v>
                </c:pt>
                <c:pt idx="204">
                  <c:v>80.11</c:v>
                </c:pt>
                <c:pt idx="205">
                  <c:v>78.61</c:v>
                </c:pt>
                <c:pt idx="206">
                  <c:v>79.45</c:v>
                </c:pt>
                <c:pt idx="207">
                  <c:v>77.39</c:v>
                </c:pt>
                <c:pt idx="208">
                  <c:v>79.84</c:v>
                </c:pt>
                <c:pt idx="209">
                  <c:v>77.04</c:v>
                </c:pt>
                <c:pt idx="210">
                  <c:v>78.08</c:v>
                </c:pt>
                <c:pt idx="211">
                  <c:v>79.58</c:v>
                </c:pt>
                <c:pt idx="212">
                  <c:v>80.3</c:v>
                </c:pt>
                <c:pt idx="213">
                  <c:v>79.64</c:v>
                </c:pt>
                <c:pt idx="214">
                  <c:v>77.4</c:v>
                </c:pt>
                <c:pt idx="215">
                  <c:v>79.44</c:v>
                </c:pt>
                <c:pt idx="216">
                  <c:v>79.01</c:v>
                </c:pt>
                <c:pt idx="217">
                  <c:v>79.16</c:v>
                </c:pt>
                <c:pt idx="218">
                  <c:v>77.25</c:v>
                </c:pt>
                <c:pt idx="219">
                  <c:v>76.34</c:v>
                </c:pt>
                <c:pt idx="220">
                  <c:v>78.91</c:v>
                </c:pt>
                <c:pt idx="221">
                  <c:v>79.08</c:v>
                </c:pt>
                <c:pt idx="222">
                  <c:v>79.55</c:v>
                </c:pt>
                <c:pt idx="223">
                  <c:v>77.47</c:v>
                </c:pt>
                <c:pt idx="224">
                  <c:v>76.83</c:v>
                </c:pt>
                <c:pt idx="225">
                  <c:v>76.49</c:v>
                </c:pt>
                <c:pt idx="226">
                  <c:v>74.88</c:v>
                </c:pt>
                <c:pt idx="227">
                  <c:v>77.25</c:v>
                </c:pt>
                <c:pt idx="228">
                  <c:v>75.95</c:v>
                </c:pt>
                <c:pt idx="229">
                  <c:v>77.19</c:v>
                </c:pt>
                <c:pt idx="230">
                  <c:v>78.39</c:v>
                </c:pt>
                <c:pt idx="231">
                  <c:v>76.62</c:v>
                </c:pt>
                <c:pt idx="232">
                  <c:v>76.42</c:v>
                </c:pt>
                <c:pt idx="233">
                  <c:v>75.41</c:v>
                </c:pt>
                <c:pt idx="234">
                  <c:v>73.89</c:v>
                </c:pt>
                <c:pt idx="235">
                  <c:v>72.59</c:v>
                </c:pt>
                <c:pt idx="236">
                  <c:v>70.67</c:v>
                </c:pt>
                <c:pt idx="237">
                  <c:v>70.54</c:v>
                </c:pt>
                <c:pt idx="238">
                  <c:v>69.86</c:v>
                </c:pt>
                <c:pt idx="239">
                  <c:v>69.48</c:v>
                </c:pt>
                <c:pt idx="240">
                  <c:v>70.62</c:v>
                </c:pt>
                <c:pt idx="241">
                  <c:v>72.64</c:v>
                </c:pt>
                <c:pt idx="242">
                  <c:v>72.58</c:v>
                </c:pt>
                <c:pt idx="243">
                  <c:v>73.3</c:v>
                </c:pt>
                <c:pt idx="244">
                  <c:v>72.71</c:v>
                </c:pt>
                <c:pt idx="245">
                  <c:v>73.48</c:v>
                </c:pt>
                <c:pt idx="246">
                  <c:v>76.03</c:v>
                </c:pt>
                <c:pt idx="247">
                  <c:v>76.83</c:v>
                </c:pt>
                <c:pt idx="248">
                  <c:v>78.67</c:v>
                </c:pt>
                <c:pt idx="249">
                  <c:v>78.87</c:v>
                </c:pt>
                <c:pt idx="250">
                  <c:v>79.35</c:v>
                </c:pt>
                <c:pt idx="251">
                  <c:v>79.39</c:v>
                </c:pt>
                <c:pt idx="252">
                  <c:v>81.52</c:v>
                </c:pt>
                <c:pt idx="253">
                  <c:v>81.74</c:v>
                </c:pt>
                <c:pt idx="254">
                  <c:v>83.12</c:v>
                </c:pt>
                <c:pt idx="255">
                  <c:v>82.6</c:v>
                </c:pt>
                <c:pt idx="256">
                  <c:v>82.74</c:v>
                </c:pt>
                <c:pt idx="257">
                  <c:v>82.54</c:v>
                </c:pt>
                <c:pt idx="258">
                  <c:v>80.79</c:v>
                </c:pt>
                <c:pt idx="259">
                  <c:v>79.66</c:v>
                </c:pt>
                <c:pt idx="260">
                  <c:v>79.35</c:v>
                </c:pt>
                <c:pt idx="261">
                  <c:v>77.96</c:v>
                </c:pt>
                <c:pt idx="262">
                  <c:v>78.98</c:v>
                </c:pt>
                <c:pt idx="263">
                  <c:v>77.42</c:v>
                </c:pt>
                <c:pt idx="264">
                  <c:v>75.84</c:v>
                </c:pt>
                <c:pt idx="265">
                  <c:v>74.25</c:v>
                </c:pt>
                <c:pt idx="266">
                  <c:v>74.9</c:v>
                </c:pt>
                <c:pt idx="267">
                  <c:v>74.67</c:v>
                </c:pt>
                <c:pt idx="268">
                  <c:v>73.64</c:v>
                </c:pt>
                <c:pt idx="269">
                  <c:v>73.62</c:v>
                </c:pt>
                <c:pt idx="270">
                  <c:v>72.85</c:v>
                </c:pt>
                <c:pt idx="271">
                  <c:v>74.41</c:v>
                </c:pt>
                <c:pt idx="272">
                  <c:v>77.21</c:v>
                </c:pt>
                <c:pt idx="273">
                  <c:v>76.96</c:v>
                </c:pt>
                <c:pt idx="274">
                  <c:v>73.13</c:v>
                </c:pt>
                <c:pt idx="275">
                  <c:v>71.15</c:v>
                </c:pt>
                <c:pt idx="276">
                  <c:v>71.87</c:v>
                </c:pt>
                <c:pt idx="277">
                  <c:v>73.71</c:v>
                </c:pt>
                <c:pt idx="278">
                  <c:v>74.48</c:v>
                </c:pt>
                <c:pt idx="279">
                  <c:v>75.23</c:v>
                </c:pt>
                <c:pt idx="280">
                  <c:v>74.11</c:v>
                </c:pt>
                <c:pt idx="281">
                  <c:v>76.98</c:v>
                </c:pt>
                <c:pt idx="282">
                  <c:v>77.27</c:v>
                </c:pt>
                <c:pt idx="283">
                  <c:v>78.97</c:v>
                </c:pt>
                <c:pt idx="284">
                  <c:v>79.77</c:v>
                </c:pt>
                <c:pt idx="285">
                  <c:v>80.04</c:v>
                </c:pt>
                <c:pt idx="286">
                  <c:v>78.61</c:v>
                </c:pt>
                <c:pt idx="287">
                  <c:v>79.75</c:v>
                </c:pt>
                <c:pt idx="288">
                  <c:v>77.99</c:v>
                </c:pt>
                <c:pt idx="289">
                  <c:v>79.72</c:v>
                </c:pt>
                <c:pt idx="290">
                  <c:v>78.71</c:v>
                </c:pt>
                <c:pt idx="291">
                  <c:v>79.62</c:v>
                </c:pt>
                <c:pt idx="292">
                  <c:v>80.91</c:v>
                </c:pt>
                <c:pt idx="293">
                  <c:v>80.21</c:v>
                </c:pt>
                <c:pt idx="294">
                  <c:v>81.5</c:v>
                </c:pt>
                <c:pt idx="295">
                  <c:v>81.85</c:v>
                </c:pt>
                <c:pt idx="296">
                  <c:v>81.5</c:v>
                </c:pt>
                <c:pt idx="297">
                  <c:v>82.07</c:v>
                </c:pt>
                <c:pt idx="298">
                  <c:v>82.1</c:v>
                </c:pt>
                <c:pt idx="299">
                  <c:v>81.26</c:v>
                </c:pt>
                <c:pt idx="300">
                  <c:v>79.79</c:v>
                </c:pt>
                <c:pt idx="301">
                  <c:v>81.75</c:v>
                </c:pt>
                <c:pt idx="302">
                  <c:v>82.93</c:v>
                </c:pt>
                <c:pt idx="303">
                  <c:v>82.16</c:v>
                </c:pt>
                <c:pt idx="304">
                  <c:v>80.58</c:v>
                </c:pt>
                <c:pt idx="305">
                  <c:v>81.26</c:v>
                </c:pt>
                <c:pt idx="306">
                  <c:v>81.68</c:v>
                </c:pt>
                <c:pt idx="307">
                  <c:v>80.29</c:v>
                </c:pt>
                <c:pt idx="308">
                  <c:v>80.25</c:v>
                </c:pt>
                <c:pt idx="309">
                  <c:v>79.75</c:v>
                </c:pt>
                <c:pt idx="310">
                  <c:v>81.92</c:v>
                </c:pt>
                <c:pt idx="311">
                  <c:v>82.14</c:v>
                </c:pt>
                <c:pt idx="312">
                  <c:v>83.45</c:v>
                </c:pt>
                <c:pt idx="313">
                  <c:v>84.53</c:v>
                </c:pt>
                <c:pt idx="314">
                  <c:v>86.36</c:v>
                </c:pt>
                <c:pt idx="315">
                  <c:v>86.54</c:v>
                </c:pt>
                <c:pt idx="316">
                  <c:v>85.64</c:v>
                </c:pt>
                <c:pt idx="317">
                  <c:v>85.17</c:v>
                </c:pt>
                <c:pt idx="318">
                  <c:v>84.6</c:v>
                </c:pt>
                <c:pt idx="319">
                  <c:v>84.07</c:v>
                </c:pt>
                <c:pt idx="320">
                  <c:v>83.8</c:v>
                </c:pt>
                <c:pt idx="321">
                  <c:v>85.62</c:v>
                </c:pt>
                <c:pt idx="322">
                  <c:v>85.25</c:v>
                </c:pt>
                <c:pt idx="323">
                  <c:v>82.97</c:v>
                </c:pt>
                <c:pt idx="324">
                  <c:v>81.52</c:v>
                </c:pt>
                <c:pt idx="325">
                  <c:v>82.98</c:v>
                </c:pt>
                <c:pt idx="326">
                  <c:v>82.78</c:v>
                </c:pt>
                <c:pt idx="327">
                  <c:v>82.89</c:v>
                </c:pt>
                <c:pt idx="328">
                  <c:v>84.34</c:v>
                </c:pt>
                <c:pt idx="329">
                  <c:v>84.2</c:v>
                </c:pt>
                <c:pt idx="330">
                  <c:v>82.43</c:v>
                </c:pt>
                <c:pt idx="331">
                  <c:v>83.22</c:v>
                </c:pt>
                <c:pt idx="332">
                  <c:v>85.17</c:v>
                </c:pt>
                <c:pt idx="333">
                  <c:v>86.07</c:v>
                </c:pt>
                <c:pt idx="334">
                  <c:v>86.19</c:v>
                </c:pt>
                <c:pt idx="335">
                  <c:v>82.73</c:v>
                </c:pt>
                <c:pt idx="336">
                  <c:v>80</c:v>
                </c:pt>
                <c:pt idx="337">
                  <c:v>77.18</c:v>
                </c:pt>
                <c:pt idx="338">
                  <c:v>75.1</c:v>
                </c:pt>
                <c:pt idx="339">
                  <c:v>76.89</c:v>
                </c:pt>
                <c:pt idx="340">
                  <c:v>76.37</c:v>
                </c:pt>
                <c:pt idx="341">
                  <c:v>75.65</c:v>
                </c:pt>
                <c:pt idx="342">
                  <c:v>74.38</c:v>
                </c:pt>
                <c:pt idx="343">
                  <c:v>71.61</c:v>
                </c:pt>
                <c:pt idx="344">
                  <c:v>70.08</c:v>
                </c:pt>
                <c:pt idx="345">
                  <c:v>69.38</c:v>
                </c:pt>
                <c:pt idx="346">
                  <c:v>69.91</c:v>
                </c:pt>
                <c:pt idx="347">
                  <c:v>68.28</c:v>
                </c:pt>
                <c:pt idx="348">
                  <c:v>68.03</c:v>
                </c:pt>
                <c:pt idx="349">
                  <c:v>68.23</c:v>
                </c:pt>
                <c:pt idx="350">
                  <c:v>64.78</c:v>
                </c:pt>
                <c:pt idx="351">
                  <c:v>71.52</c:v>
                </c:pt>
                <c:pt idx="352">
                  <c:v>74.56</c:v>
                </c:pt>
                <c:pt idx="353">
                  <c:v>74</c:v>
                </c:pt>
                <c:pt idx="354">
                  <c:v>72.7</c:v>
                </c:pt>
                <c:pt idx="355">
                  <c:v>72.88</c:v>
                </c:pt>
                <c:pt idx="356">
                  <c:v>74.62</c:v>
                </c:pt>
                <c:pt idx="357">
                  <c:v>71.43</c:v>
                </c:pt>
                <c:pt idx="358">
                  <c:v>71.55</c:v>
                </c:pt>
                <c:pt idx="359">
                  <c:v>71.88</c:v>
                </c:pt>
                <c:pt idx="360">
                  <c:v>74.38</c:v>
                </c:pt>
                <c:pt idx="361">
                  <c:v>75.48</c:v>
                </c:pt>
                <c:pt idx="362">
                  <c:v>73.89</c:v>
                </c:pt>
                <c:pt idx="363">
                  <c:v>74.99</c:v>
                </c:pt>
                <c:pt idx="364">
                  <c:v>76.84</c:v>
                </c:pt>
                <c:pt idx="365">
                  <c:v>77.67</c:v>
                </c:pt>
                <c:pt idx="366">
                  <c:v>76.82</c:v>
                </c:pt>
                <c:pt idx="367">
                  <c:v>77.18</c:v>
                </c:pt>
                <c:pt idx="368">
                  <c:v>77.84</c:v>
                </c:pt>
                <c:pt idx="369">
                  <c:v>77.15</c:v>
                </c:pt>
                <c:pt idx="370">
                  <c:v>75.9</c:v>
                </c:pt>
                <c:pt idx="371">
                  <c:v>75.96</c:v>
                </c:pt>
                <c:pt idx="372">
                  <c:v>78.45</c:v>
                </c:pt>
                <c:pt idx="373">
                  <c:v>78.26</c:v>
                </c:pt>
                <c:pt idx="374">
                  <c:v>75.93</c:v>
                </c:pt>
                <c:pt idx="375">
                  <c:v>75.59</c:v>
                </c:pt>
                <c:pt idx="376">
                  <c:v>72.95</c:v>
                </c:pt>
                <c:pt idx="377">
                  <c:v>72.06</c:v>
                </c:pt>
                <c:pt idx="378">
                  <c:v>71.96</c:v>
                </c:pt>
                <c:pt idx="379">
                  <c:v>74.05</c:v>
                </c:pt>
                <c:pt idx="380">
                  <c:v>75.46</c:v>
                </c:pt>
                <c:pt idx="381">
                  <c:v>76.08</c:v>
                </c:pt>
                <c:pt idx="382">
                  <c:v>74.93</c:v>
                </c:pt>
                <c:pt idx="383">
                  <c:v>77.16</c:v>
                </c:pt>
                <c:pt idx="384">
                  <c:v>77.02</c:v>
                </c:pt>
                <c:pt idx="385">
                  <c:v>76.67</c:v>
                </c:pt>
                <c:pt idx="386">
                  <c:v>75.96</c:v>
                </c:pt>
                <c:pt idx="387">
                  <c:v>76.53</c:v>
                </c:pt>
                <c:pt idx="388">
                  <c:v>77.32</c:v>
                </c:pt>
                <c:pt idx="389">
                  <c:v>76.27</c:v>
                </c:pt>
                <c:pt idx="390">
                  <c:v>79.01</c:v>
                </c:pt>
                <c:pt idx="391">
                  <c:v>78.68</c:v>
                </c:pt>
                <c:pt idx="392">
                  <c:v>78.93</c:v>
                </c:pt>
                <c:pt idx="393">
                  <c:v>77.46</c:v>
                </c:pt>
                <c:pt idx="394">
                  <c:v>77.06</c:v>
                </c:pt>
                <c:pt idx="395">
                  <c:v>78.3</c:v>
                </c:pt>
                <c:pt idx="396">
                  <c:v>78.85</c:v>
                </c:pt>
                <c:pt idx="397">
                  <c:v>81.25</c:v>
                </c:pt>
                <c:pt idx="398">
                  <c:v>82.52</c:v>
                </c:pt>
                <c:pt idx="399">
                  <c:v>82.49</c:v>
                </c:pt>
                <c:pt idx="400">
                  <c:v>82</c:v>
                </c:pt>
                <c:pt idx="401">
                  <c:v>80.67</c:v>
                </c:pt>
                <c:pt idx="402">
                  <c:v>81.46</c:v>
                </c:pt>
                <c:pt idx="403">
                  <c:v>80.24</c:v>
                </c:pt>
                <c:pt idx="404">
                  <c:v>78.09</c:v>
                </c:pt>
                <c:pt idx="405">
                  <c:v>75.68</c:v>
                </c:pt>
                <c:pt idx="406">
                  <c:v>75.39</c:v>
                </c:pt>
                <c:pt idx="407">
                  <c:v>75.17</c:v>
                </c:pt>
                <c:pt idx="408">
                  <c:v>75.76</c:v>
                </c:pt>
                <c:pt idx="409">
                  <c:v>75.39</c:v>
                </c:pt>
                <c:pt idx="410">
                  <c:v>74.45</c:v>
                </c:pt>
                <c:pt idx="411">
                  <c:v>73.45</c:v>
                </c:pt>
                <c:pt idx="412">
                  <c:v>72.71</c:v>
                </c:pt>
                <c:pt idx="413">
                  <c:v>71.24</c:v>
                </c:pt>
                <c:pt idx="414">
                  <c:v>72.07</c:v>
                </c:pt>
                <c:pt idx="415">
                  <c:v>73.36</c:v>
                </c:pt>
                <c:pt idx="416">
                  <c:v>75.17</c:v>
                </c:pt>
                <c:pt idx="417">
                  <c:v>74.69</c:v>
                </c:pt>
                <c:pt idx="418">
                  <c:v>71.93</c:v>
                </c:pt>
                <c:pt idx="419">
                  <c:v>73.97</c:v>
                </c:pt>
                <c:pt idx="420">
                  <c:v>74.99</c:v>
                </c:pt>
                <c:pt idx="421">
                  <c:v>74.52</c:v>
                </c:pt>
                <c:pt idx="422">
                  <c:v>73.98</c:v>
                </c:pt>
                <c:pt idx="423">
                  <c:v>74.65</c:v>
                </c:pt>
                <c:pt idx="424">
                  <c:v>74.25</c:v>
                </c:pt>
                <c:pt idx="425">
                  <c:v>76.4</c:v>
                </c:pt>
                <c:pt idx="426">
                  <c:v>77.17</c:v>
                </c:pt>
                <c:pt idx="427">
                  <c:v>76.78</c:v>
                </c:pt>
                <c:pt idx="428">
                  <c:v>75.92</c:v>
                </c:pt>
                <c:pt idx="429">
                  <c:v>74.58</c:v>
                </c:pt>
                <c:pt idx="430">
                  <c:v>73.63</c:v>
                </c:pt>
                <c:pt idx="431">
                  <c:v>74.81</c:v>
                </c:pt>
                <c:pt idx="432">
                  <c:v>72.96</c:v>
                </c:pt>
                <c:pt idx="433">
                  <c:v>72.98</c:v>
                </c:pt>
                <c:pt idx="434">
                  <c:v>73.4</c:v>
                </c:pt>
                <c:pt idx="435">
                  <c:v>74.63</c:v>
                </c:pt>
                <c:pt idx="436">
                  <c:v>76.51</c:v>
                </c:pt>
                <c:pt idx="437">
                  <c:v>76.15</c:v>
                </c:pt>
                <c:pt idx="438">
                  <c:v>77.85</c:v>
                </c:pt>
                <c:pt idx="439">
                  <c:v>79.95</c:v>
                </c:pt>
                <c:pt idx="440">
                  <c:v>81.57</c:v>
                </c:pt>
                <c:pt idx="441">
                  <c:v>81.43</c:v>
                </c:pt>
                <c:pt idx="442">
                  <c:v>82.83</c:v>
                </c:pt>
                <c:pt idx="443">
                  <c:v>83.21</c:v>
                </c:pt>
                <c:pt idx="444">
                  <c:v>81.34</c:v>
                </c:pt>
                <c:pt idx="445">
                  <c:v>82.66</c:v>
                </c:pt>
                <c:pt idx="446">
                  <c:v>82.18</c:v>
                </c:pt>
                <c:pt idx="447">
                  <c:v>81.67</c:v>
                </c:pt>
                <c:pt idx="448">
                  <c:v>83.03</c:v>
                </c:pt>
                <c:pt idx="449">
                  <c:v>82.71</c:v>
                </c:pt>
                <c:pt idx="450">
                  <c:v>81.23</c:v>
                </c:pt>
                <c:pt idx="451">
                  <c:v>83.06</c:v>
                </c:pt>
                <c:pt idx="452">
                  <c:v>79.57</c:v>
                </c:pt>
                <c:pt idx="453">
                  <c:v>81.93</c:v>
                </c:pt>
                <c:pt idx="454">
                  <c:v>80.03</c:v>
                </c:pt>
                <c:pt idx="455">
                  <c:v>81.15</c:v>
                </c:pt>
                <c:pt idx="456">
                  <c:v>82</c:v>
                </c:pt>
                <c:pt idx="457">
                  <c:v>82.6</c:v>
                </c:pt>
                <c:pt idx="458">
                  <c:v>81.9</c:v>
                </c:pt>
                <c:pt idx="459">
                  <c:v>82.2</c:v>
                </c:pt>
                <c:pt idx="460">
                  <c:v>81.45</c:v>
                </c:pt>
                <c:pt idx="461">
                  <c:v>82.94</c:v>
                </c:pt>
                <c:pt idx="462">
                  <c:v>83.91</c:v>
                </c:pt>
                <c:pt idx="463">
                  <c:v>84.45</c:v>
                </c:pt>
                <c:pt idx="464">
                  <c:v>86.49</c:v>
                </c:pt>
                <c:pt idx="465">
                  <c:v>86.85</c:v>
                </c:pt>
                <c:pt idx="466">
                  <c:v>87.07</c:v>
                </c:pt>
                <c:pt idx="467">
                  <c:v>87.04</c:v>
                </c:pt>
                <c:pt idx="468">
                  <c:v>87.77</c:v>
                </c:pt>
                <c:pt idx="469">
                  <c:v>87.77</c:v>
                </c:pt>
                <c:pt idx="470">
                  <c:v>84.89</c:v>
                </c:pt>
                <c:pt idx="471">
                  <c:v>84.88</c:v>
                </c:pt>
                <c:pt idx="472">
                  <c:v>82.33</c:v>
                </c:pt>
                <c:pt idx="473">
                  <c:v>80.43</c:v>
                </c:pt>
                <c:pt idx="474">
                  <c:v>81.88</c:v>
                </c:pt>
                <c:pt idx="475">
                  <c:v>81.65</c:v>
                </c:pt>
                <c:pt idx="476">
                  <c:v>81.24</c:v>
                </c:pt>
                <c:pt idx="477">
                  <c:v>80.79</c:v>
                </c:pt>
                <c:pt idx="478">
                  <c:v>83.21</c:v>
                </c:pt>
                <c:pt idx="479">
                  <c:v>83.87</c:v>
                </c:pt>
                <c:pt idx="480">
                  <c:v>85.73</c:v>
                </c:pt>
                <c:pt idx="481">
                  <c:v>84.12</c:v>
                </c:pt>
                <c:pt idx="482">
                  <c:v>86.75</c:v>
                </c:pt>
                <c:pt idx="483">
                  <c:v>87.98</c:v>
                </c:pt>
                <c:pt idx="484">
                  <c:v>89.18</c:v>
                </c:pt>
                <c:pt idx="485">
                  <c:v>89.33</c:v>
                </c:pt>
                <c:pt idx="486">
                  <c:v>88.69</c:v>
                </c:pt>
                <c:pt idx="487">
                  <c:v>88.3</c:v>
                </c:pt>
                <c:pt idx="488">
                  <c:v>88.35</c:v>
                </c:pt>
                <c:pt idx="489">
                  <c:v>87.81</c:v>
                </c:pt>
                <c:pt idx="490">
                  <c:v>88.62</c:v>
                </c:pt>
                <c:pt idx="491">
                  <c:v>88.33</c:v>
                </c:pt>
                <c:pt idx="492">
                  <c:v>88.66</c:v>
                </c:pt>
                <c:pt idx="493">
                  <c:v>87.71</c:v>
                </c:pt>
                <c:pt idx="494">
                  <c:v>88.02</c:v>
                </c:pt>
                <c:pt idx="495">
                  <c:v>88.68</c:v>
                </c:pt>
                <c:pt idx="496">
                  <c:v>89.3</c:v>
                </c:pt>
                <c:pt idx="497">
                  <c:v>89.83</c:v>
                </c:pt>
                <c:pt idx="498">
                  <c:v>90.84</c:v>
                </c:pt>
                <c:pt idx="499">
                  <c:v>90.99</c:v>
                </c:pt>
                <c:pt idx="500">
                  <c:v>91.48</c:v>
                </c:pt>
                <c:pt idx="501">
                  <c:v>91.13</c:v>
                </c:pt>
                <c:pt idx="502">
                  <c:v>89.85</c:v>
                </c:pt>
                <c:pt idx="503">
                  <c:v>91.38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Engle!$C$1</c:f>
              <c:strCache>
                <c:ptCount val="1"/>
                <c:pt idx="0">
                  <c:v>Brent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  <a:round/>
            </a:ln>
          </c:spPr>
          <c:marker>
            <c:symbol val="none"/>
          </c:marker>
          <c:val>
            <c:numRef>
              <c:f>Engle!$C$2:$C$505</c:f>
              <c:numCache>
                <c:formatCode>General</c:formatCode>
                <c:ptCount val="504"/>
                <c:pt idx="0">
                  <c:v>42.94</c:v>
                </c:pt>
                <c:pt idx="1">
                  <c:v>45.84</c:v>
                </c:pt>
                <c:pt idx="2">
                  <c:v>48.89</c:v>
                </c:pt>
                <c:pt idx="3">
                  <c:v>46.23</c:v>
                </c:pt>
                <c:pt idx="4">
                  <c:v>42.94</c:v>
                </c:pt>
                <c:pt idx="5">
                  <c:v>42.34</c:v>
                </c:pt>
                <c:pt idx="6">
                  <c:v>40.86</c:v>
                </c:pt>
                <c:pt idx="7">
                  <c:v>43.05</c:v>
                </c:pt>
                <c:pt idx="8">
                  <c:v>42.27</c:v>
                </c:pt>
                <c:pt idx="9">
                  <c:v>42.32</c:v>
                </c:pt>
                <c:pt idx="10">
                  <c:v>43.42</c:v>
                </c:pt>
                <c:pt idx="11">
                  <c:v>41.22</c:v>
                </c:pt>
                <c:pt idx="12">
                  <c:v>39.9</c:v>
                </c:pt>
                <c:pt idx="13">
                  <c:v>42.42</c:v>
                </c:pt>
                <c:pt idx="14">
                  <c:v>43.13</c:v>
                </c:pt>
                <c:pt idx="15">
                  <c:v>48</c:v>
                </c:pt>
                <c:pt idx="16">
                  <c:v>42.86</c:v>
                </c:pt>
                <c:pt idx="17">
                  <c:v>42.86</c:v>
                </c:pt>
                <c:pt idx="18">
                  <c:v>43.13</c:v>
                </c:pt>
                <c:pt idx="19">
                  <c:v>44.17</c:v>
                </c:pt>
                <c:pt idx="20">
                  <c:v>42.96</c:v>
                </c:pt>
                <c:pt idx="21">
                  <c:v>43.15</c:v>
                </c:pt>
                <c:pt idx="22">
                  <c:v>43.68</c:v>
                </c:pt>
                <c:pt idx="23">
                  <c:v>43.92</c:v>
                </c:pt>
                <c:pt idx="24">
                  <c:v>44.49</c:v>
                </c:pt>
                <c:pt idx="25">
                  <c:v>47.23</c:v>
                </c:pt>
                <c:pt idx="26">
                  <c:v>45.88</c:v>
                </c:pt>
                <c:pt idx="27">
                  <c:v>44.24</c:v>
                </c:pt>
                <c:pt idx="28">
                  <c:v>47.23</c:v>
                </c:pt>
                <c:pt idx="29">
                  <c:v>43.36</c:v>
                </c:pt>
                <c:pt idx="30">
                  <c:v>39.69</c:v>
                </c:pt>
                <c:pt idx="31">
                  <c:v>39.41</c:v>
                </c:pt>
                <c:pt idx="32">
                  <c:v>42.36</c:v>
                </c:pt>
                <c:pt idx="33">
                  <c:v>42.19</c:v>
                </c:pt>
                <c:pt idx="34">
                  <c:v>41.27</c:v>
                </c:pt>
                <c:pt idx="35">
                  <c:v>40.18</c:v>
                </c:pt>
                <c:pt idx="36">
                  <c:v>42.37</c:v>
                </c:pt>
                <c:pt idx="37">
                  <c:v>45.15</c:v>
                </c:pt>
                <c:pt idx="38">
                  <c:v>44.41</c:v>
                </c:pt>
                <c:pt idx="39">
                  <c:v>42.6</c:v>
                </c:pt>
                <c:pt idx="40">
                  <c:v>42.72</c:v>
                </c:pt>
                <c:pt idx="41">
                  <c:v>46.07</c:v>
                </c:pt>
                <c:pt idx="42">
                  <c:v>44.45</c:v>
                </c:pt>
                <c:pt idx="43">
                  <c:v>43.48</c:v>
                </c:pt>
                <c:pt idx="44">
                  <c:v>44.55</c:v>
                </c:pt>
                <c:pt idx="45">
                  <c:v>44.99</c:v>
                </c:pt>
                <c:pt idx="46">
                  <c:v>43.2</c:v>
                </c:pt>
                <c:pt idx="47">
                  <c:v>42.19</c:v>
                </c:pt>
                <c:pt idx="48">
                  <c:v>44.97</c:v>
                </c:pt>
                <c:pt idx="49">
                  <c:v>44.12</c:v>
                </c:pt>
                <c:pt idx="50">
                  <c:v>45.53</c:v>
                </c:pt>
                <c:pt idx="51">
                  <c:v>45.22</c:v>
                </c:pt>
                <c:pt idx="52">
                  <c:v>48.03</c:v>
                </c:pt>
                <c:pt idx="53">
                  <c:v>49.27</c:v>
                </c:pt>
                <c:pt idx="54">
                  <c:v>51.84</c:v>
                </c:pt>
                <c:pt idx="55">
                  <c:v>51.32</c:v>
                </c:pt>
                <c:pt idx="56">
                  <c:v>51.46</c:v>
                </c:pt>
                <c:pt idx="57">
                  <c:v>51.89</c:v>
                </c:pt>
                <c:pt idx="58">
                  <c:v>50.81</c:v>
                </c:pt>
                <c:pt idx="59">
                  <c:v>49.05</c:v>
                </c:pt>
                <c:pt idx="60">
                  <c:v>46.13</c:v>
                </c:pt>
                <c:pt idx="61">
                  <c:v>45.92</c:v>
                </c:pt>
                <c:pt idx="62">
                  <c:v>50.89</c:v>
                </c:pt>
                <c:pt idx="63">
                  <c:v>50.48</c:v>
                </c:pt>
                <c:pt idx="64">
                  <c:v>50.91</c:v>
                </c:pt>
                <c:pt idx="65">
                  <c:v>50.62</c:v>
                </c:pt>
                <c:pt idx="66">
                  <c:v>52.06</c:v>
                </c:pt>
                <c:pt idx="67">
                  <c:v>52.33</c:v>
                </c:pt>
                <c:pt idx="68">
                  <c:v>50.73</c:v>
                </c:pt>
                <c:pt idx="69">
                  <c:v>52.06</c:v>
                </c:pt>
                <c:pt idx="70">
                  <c:v>51.31</c:v>
                </c:pt>
                <c:pt idx="71">
                  <c:v>51.83</c:v>
                </c:pt>
                <c:pt idx="72">
                  <c:v>52.02</c:v>
                </c:pt>
                <c:pt idx="73">
                  <c:v>49.06</c:v>
                </c:pt>
                <c:pt idx="74">
                  <c:v>48.69</c:v>
                </c:pt>
                <c:pt idx="75">
                  <c:v>48.5</c:v>
                </c:pt>
                <c:pt idx="76">
                  <c:v>48.29</c:v>
                </c:pt>
                <c:pt idx="77">
                  <c:v>50.29</c:v>
                </c:pt>
                <c:pt idx="78">
                  <c:v>48.67</c:v>
                </c:pt>
                <c:pt idx="79">
                  <c:v>48.64</c:v>
                </c:pt>
                <c:pt idx="80">
                  <c:v>50.22</c:v>
                </c:pt>
                <c:pt idx="81">
                  <c:v>50.3</c:v>
                </c:pt>
                <c:pt idx="82">
                  <c:v>51.75</c:v>
                </c:pt>
                <c:pt idx="83">
                  <c:v>53.26</c:v>
                </c:pt>
                <c:pt idx="84">
                  <c:v>53.16</c:v>
                </c:pt>
                <c:pt idx="85">
                  <c:v>55.07</c:v>
                </c:pt>
                <c:pt idx="86">
                  <c:v>56.63</c:v>
                </c:pt>
                <c:pt idx="87">
                  <c:v>56.02</c:v>
                </c:pt>
                <c:pt idx="88">
                  <c:v>55.99</c:v>
                </c:pt>
                <c:pt idx="89">
                  <c:v>56.52</c:v>
                </c:pt>
                <c:pt idx="90">
                  <c:v>56.84</c:v>
                </c:pt>
                <c:pt idx="91">
                  <c:v>56.25</c:v>
                </c:pt>
                <c:pt idx="92">
                  <c:v>56.33</c:v>
                </c:pt>
                <c:pt idx="93">
                  <c:v>56.51</c:v>
                </c:pt>
                <c:pt idx="94">
                  <c:v>57.12</c:v>
                </c:pt>
                <c:pt idx="95">
                  <c:v>59.1</c:v>
                </c:pt>
                <c:pt idx="96">
                  <c:v>58.02</c:v>
                </c:pt>
                <c:pt idx="97">
                  <c:v>58.7</c:v>
                </c:pt>
                <c:pt idx="98">
                  <c:v>59.05</c:v>
                </c:pt>
                <c:pt idx="99">
                  <c:v>61.28</c:v>
                </c:pt>
                <c:pt idx="100">
                  <c:v>63.47</c:v>
                </c:pt>
                <c:pt idx="101">
                  <c:v>64.98</c:v>
                </c:pt>
                <c:pt idx="102">
                  <c:v>66.6</c:v>
                </c:pt>
                <c:pt idx="103">
                  <c:v>67.67</c:v>
                </c:pt>
                <c:pt idx="104">
                  <c:v>66.15</c:v>
                </c:pt>
                <c:pt idx="105">
                  <c:v>67.68</c:v>
                </c:pt>
                <c:pt idx="106">
                  <c:v>67.77</c:v>
                </c:pt>
                <c:pt idx="107">
                  <c:v>67.61</c:v>
                </c:pt>
                <c:pt idx="108">
                  <c:v>68.94</c:v>
                </c:pt>
                <c:pt idx="109">
                  <c:v>70.52</c:v>
                </c:pt>
                <c:pt idx="110">
                  <c:v>71.71</c:v>
                </c:pt>
                <c:pt idx="111">
                  <c:v>70.62</c:v>
                </c:pt>
                <c:pt idx="112">
                  <c:v>68.49</c:v>
                </c:pt>
                <c:pt idx="113">
                  <c:v>70.52</c:v>
                </c:pt>
                <c:pt idx="114">
                  <c:v>68.95</c:v>
                </c:pt>
                <c:pt idx="115">
                  <c:v>69.96</c:v>
                </c:pt>
                <c:pt idx="116">
                  <c:v>70.48</c:v>
                </c:pt>
                <c:pt idx="117">
                  <c:v>66.13</c:v>
                </c:pt>
                <c:pt idx="118">
                  <c:v>66.36</c:v>
                </c:pt>
                <c:pt idx="119">
                  <c:v>68.47</c:v>
                </c:pt>
                <c:pt idx="120">
                  <c:v>68.82</c:v>
                </c:pt>
                <c:pt idx="121">
                  <c:v>68.1</c:v>
                </c:pt>
                <c:pt idx="122">
                  <c:v>69.75</c:v>
                </c:pt>
                <c:pt idx="123">
                  <c:v>68.11</c:v>
                </c:pt>
                <c:pt idx="124">
                  <c:v>68.52</c:v>
                </c:pt>
                <c:pt idx="125">
                  <c:v>65.74</c:v>
                </c:pt>
                <c:pt idx="126">
                  <c:v>63.12</c:v>
                </c:pt>
                <c:pt idx="127">
                  <c:v>61.54</c:v>
                </c:pt>
                <c:pt idx="128">
                  <c:v>59.71</c:v>
                </c:pt>
                <c:pt idx="129">
                  <c:v>59.17</c:v>
                </c:pt>
                <c:pt idx="130">
                  <c:v>58.43</c:v>
                </c:pt>
                <c:pt idx="131">
                  <c:v>58.25</c:v>
                </c:pt>
                <c:pt idx="132">
                  <c:v>60.48</c:v>
                </c:pt>
                <c:pt idx="133">
                  <c:v>61.25</c:v>
                </c:pt>
                <c:pt idx="134">
                  <c:v>62.02</c:v>
                </c:pt>
                <c:pt idx="135">
                  <c:v>63.54</c:v>
                </c:pt>
                <c:pt idx="136">
                  <c:v>64.64</c:v>
                </c:pt>
                <c:pt idx="137">
                  <c:v>65.93</c:v>
                </c:pt>
                <c:pt idx="138">
                  <c:v>65.36</c:v>
                </c:pt>
                <c:pt idx="139">
                  <c:v>68.06</c:v>
                </c:pt>
                <c:pt idx="140">
                  <c:v>68.82</c:v>
                </c:pt>
                <c:pt idx="141">
                  <c:v>69.78</c:v>
                </c:pt>
                <c:pt idx="142">
                  <c:v>68.53</c:v>
                </c:pt>
                <c:pt idx="143">
                  <c:v>65.79</c:v>
                </c:pt>
                <c:pt idx="144">
                  <c:v>68.82</c:v>
                </c:pt>
                <c:pt idx="145">
                  <c:v>70.08</c:v>
                </c:pt>
                <c:pt idx="146">
                  <c:v>72.9</c:v>
                </c:pt>
                <c:pt idx="147">
                  <c:v>73.82</c:v>
                </c:pt>
                <c:pt idx="148">
                  <c:v>74.39</c:v>
                </c:pt>
                <c:pt idx="149">
                  <c:v>74.61</c:v>
                </c:pt>
                <c:pt idx="150">
                  <c:v>74.21</c:v>
                </c:pt>
                <c:pt idx="151">
                  <c:v>73.79</c:v>
                </c:pt>
                <c:pt idx="152">
                  <c:v>71.58</c:v>
                </c:pt>
                <c:pt idx="153">
                  <c:v>74.03</c:v>
                </c:pt>
                <c:pt idx="154">
                  <c:v>73.76</c:v>
                </c:pt>
                <c:pt idx="155">
                  <c:v>71.33</c:v>
                </c:pt>
                <c:pt idx="156">
                  <c:v>68.65</c:v>
                </c:pt>
                <c:pt idx="157">
                  <c:v>68.66</c:v>
                </c:pt>
                <c:pt idx="158">
                  <c:v>72.81</c:v>
                </c:pt>
                <c:pt idx="159">
                  <c:v>73.75</c:v>
                </c:pt>
                <c:pt idx="160">
                  <c:v>73.71</c:v>
                </c:pt>
                <c:pt idx="161">
                  <c:v>74.34</c:v>
                </c:pt>
                <c:pt idx="162">
                  <c:v>73.1</c:v>
                </c:pt>
                <c:pt idx="163">
                  <c:v>70.74</c:v>
                </c:pt>
                <c:pt idx="164">
                  <c:v>70.68</c:v>
                </c:pt>
                <c:pt idx="165">
                  <c:v>72.8</c:v>
                </c:pt>
                <c:pt idx="166">
                  <c:v>69.02</c:v>
                </c:pt>
                <c:pt idx="167">
                  <c:v>68.78</c:v>
                </c:pt>
                <c:pt idx="168">
                  <c:v>67.6</c:v>
                </c:pt>
                <c:pt idx="169">
                  <c:v>66.78</c:v>
                </c:pt>
                <c:pt idx="170">
                  <c:v>65.84</c:v>
                </c:pt>
                <c:pt idx="171">
                  <c:v>69.2</c:v>
                </c:pt>
                <c:pt idx="172">
                  <c:v>69.76</c:v>
                </c:pt>
                <c:pt idx="173">
                  <c:v>68.96</c:v>
                </c:pt>
                <c:pt idx="174">
                  <c:v>68.76</c:v>
                </c:pt>
                <c:pt idx="175">
                  <c:v>66.91</c:v>
                </c:pt>
                <c:pt idx="176">
                  <c:v>66.53</c:v>
                </c:pt>
                <c:pt idx="177">
                  <c:v>68.51</c:v>
                </c:pt>
                <c:pt idx="178">
                  <c:v>71.56</c:v>
                </c:pt>
                <c:pt idx="179">
                  <c:v>70.72</c:v>
                </c:pt>
                <c:pt idx="180">
                  <c:v>68.11</c:v>
                </c:pt>
                <c:pt idx="181">
                  <c:v>69.65</c:v>
                </c:pt>
                <c:pt idx="182">
                  <c:v>67.43</c:v>
                </c:pt>
                <c:pt idx="183">
                  <c:v>64.99</c:v>
                </c:pt>
                <c:pt idx="184">
                  <c:v>64.6</c:v>
                </c:pt>
                <c:pt idx="185">
                  <c:v>65.43</c:v>
                </c:pt>
                <c:pt idx="186">
                  <c:v>64.63</c:v>
                </c:pt>
                <c:pt idx="187">
                  <c:v>65.82</c:v>
                </c:pt>
                <c:pt idx="188">
                  <c:v>67.12</c:v>
                </c:pt>
                <c:pt idx="189">
                  <c:v>66.5</c:v>
                </c:pt>
                <c:pt idx="190">
                  <c:v>65.26</c:v>
                </c:pt>
                <c:pt idx="191">
                  <c:v>68.51</c:v>
                </c:pt>
                <c:pt idx="192">
                  <c:v>67.65</c:v>
                </c:pt>
                <c:pt idx="193">
                  <c:v>68.47</c:v>
                </c:pt>
                <c:pt idx="194">
                  <c:v>69.45</c:v>
                </c:pt>
                <c:pt idx="195">
                  <c:v>70.75</c:v>
                </c:pt>
                <c:pt idx="196">
                  <c:v>70.81</c:v>
                </c:pt>
                <c:pt idx="197">
                  <c:v>72.16</c:v>
                </c:pt>
                <c:pt idx="198">
                  <c:v>73.14</c:v>
                </c:pt>
                <c:pt idx="199">
                  <c:v>74.58</c:v>
                </c:pt>
                <c:pt idx="200">
                  <c:v>75.86</c:v>
                </c:pt>
                <c:pt idx="201">
                  <c:v>76.51</c:v>
                </c:pt>
                <c:pt idx="202">
                  <c:v>77.74</c:v>
                </c:pt>
                <c:pt idx="203">
                  <c:v>78.36</c:v>
                </c:pt>
                <c:pt idx="204">
                  <c:v>77.72</c:v>
                </c:pt>
                <c:pt idx="205">
                  <c:v>76.45</c:v>
                </c:pt>
                <c:pt idx="206">
                  <c:v>76.69</c:v>
                </c:pt>
                <c:pt idx="207">
                  <c:v>75.11</c:v>
                </c:pt>
                <c:pt idx="208">
                  <c:v>77.18</c:v>
                </c:pt>
                <c:pt idx="209">
                  <c:v>74.91</c:v>
                </c:pt>
                <c:pt idx="210">
                  <c:v>75.56</c:v>
                </c:pt>
                <c:pt idx="211">
                  <c:v>75.68</c:v>
                </c:pt>
                <c:pt idx="212">
                  <c:v>78.21</c:v>
                </c:pt>
                <c:pt idx="213">
                  <c:v>78.02</c:v>
                </c:pt>
                <c:pt idx="214">
                  <c:v>75.51</c:v>
                </c:pt>
                <c:pt idx="215">
                  <c:v>77.18</c:v>
                </c:pt>
                <c:pt idx="216">
                  <c:v>77.07</c:v>
                </c:pt>
                <c:pt idx="217">
                  <c:v>76.99</c:v>
                </c:pt>
                <c:pt idx="218">
                  <c:v>75.18</c:v>
                </c:pt>
                <c:pt idx="219">
                  <c:v>74.81</c:v>
                </c:pt>
                <c:pt idx="220">
                  <c:v>77.14</c:v>
                </c:pt>
                <c:pt idx="221">
                  <c:v>77.36</c:v>
                </c:pt>
                <c:pt idx="222">
                  <c:v>78.64</c:v>
                </c:pt>
                <c:pt idx="223">
                  <c:v>76.45</c:v>
                </c:pt>
                <c:pt idx="224">
                  <c:v>75.61</c:v>
                </c:pt>
                <c:pt idx="225">
                  <c:v>78.14</c:v>
                </c:pt>
                <c:pt idx="226">
                  <c:v>75.35</c:v>
                </c:pt>
                <c:pt idx="227">
                  <c:v>76.57</c:v>
                </c:pt>
                <c:pt idx="228">
                  <c:v>76</c:v>
                </c:pt>
                <c:pt idx="229">
                  <c:v>77.77</c:v>
                </c:pt>
                <c:pt idx="230">
                  <c:v>78.68</c:v>
                </c:pt>
                <c:pt idx="231">
                  <c:v>76.96</c:v>
                </c:pt>
                <c:pt idx="232">
                  <c:v>77.76</c:v>
                </c:pt>
                <c:pt idx="233">
                  <c:v>77.74</c:v>
                </c:pt>
                <c:pt idx="234">
                  <c:v>76.18</c:v>
                </c:pt>
                <c:pt idx="235">
                  <c:v>74.93</c:v>
                </c:pt>
                <c:pt idx="236">
                  <c:v>73.63</c:v>
                </c:pt>
                <c:pt idx="237">
                  <c:v>70.91</c:v>
                </c:pt>
                <c:pt idx="238">
                  <c:v>70.07</c:v>
                </c:pt>
                <c:pt idx="239">
                  <c:v>71.19</c:v>
                </c:pt>
                <c:pt idx="240">
                  <c:v>71.33</c:v>
                </c:pt>
                <c:pt idx="241">
                  <c:v>73.34</c:v>
                </c:pt>
                <c:pt idx="242">
                  <c:v>71.28</c:v>
                </c:pt>
                <c:pt idx="243">
                  <c:v>71.87</c:v>
                </c:pt>
                <c:pt idx="244">
                  <c:v>72.74</c:v>
                </c:pt>
                <c:pt idx="245">
                  <c:v>71.64</c:v>
                </c:pt>
                <c:pt idx="246">
                  <c:v>73.87</c:v>
                </c:pt>
                <c:pt idx="247">
                  <c:v>75.15</c:v>
                </c:pt>
                <c:pt idx="248">
                  <c:v>76.59</c:v>
                </c:pt>
                <c:pt idx="249">
                  <c:v>76.65</c:v>
                </c:pt>
                <c:pt idx="250">
                  <c:v>77.62</c:v>
                </c:pt>
                <c:pt idx="251">
                  <c:v>77.91</c:v>
                </c:pt>
                <c:pt idx="252">
                  <c:v>79.05</c:v>
                </c:pt>
                <c:pt idx="253">
                  <c:v>79.27</c:v>
                </c:pt>
                <c:pt idx="254">
                  <c:v>80.14</c:v>
                </c:pt>
                <c:pt idx="255">
                  <c:v>80.57</c:v>
                </c:pt>
                <c:pt idx="256">
                  <c:v>80.06</c:v>
                </c:pt>
                <c:pt idx="257">
                  <c:v>80.14</c:v>
                </c:pt>
                <c:pt idx="258">
                  <c:v>79.38</c:v>
                </c:pt>
                <c:pt idx="259">
                  <c:v>77.57</c:v>
                </c:pt>
                <c:pt idx="260">
                  <c:v>77.61</c:v>
                </c:pt>
                <c:pt idx="261">
                  <c:v>76.85</c:v>
                </c:pt>
                <c:pt idx="262">
                  <c:v>75.18</c:v>
                </c:pt>
                <c:pt idx="263">
                  <c:v>75.09</c:v>
                </c:pt>
                <c:pt idx="264">
                  <c:v>74.13</c:v>
                </c:pt>
                <c:pt idx="265">
                  <c:v>72.73</c:v>
                </c:pt>
                <c:pt idx="266">
                  <c:v>72.18</c:v>
                </c:pt>
                <c:pt idx="267">
                  <c:v>72.63</c:v>
                </c:pt>
                <c:pt idx="268">
                  <c:v>72.75</c:v>
                </c:pt>
                <c:pt idx="269">
                  <c:v>70.65</c:v>
                </c:pt>
                <c:pt idx="270">
                  <c:v>71.2</c:v>
                </c:pt>
                <c:pt idx="271">
                  <c:v>71.58</c:v>
                </c:pt>
                <c:pt idx="272">
                  <c:v>73.94</c:v>
                </c:pt>
                <c:pt idx="273">
                  <c:v>75.77</c:v>
                </c:pt>
                <c:pt idx="274">
                  <c:v>71.3</c:v>
                </c:pt>
                <c:pt idx="275">
                  <c:v>70.11</c:v>
                </c:pt>
                <c:pt idx="276">
                  <c:v>69.62</c:v>
                </c:pt>
                <c:pt idx="277">
                  <c:v>70.4</c:v>
                </c:pt>
                <c:pt idx="278">
                  <c:v>70.4</c:v>
                </c:pt>
                <c:pt idx="279">
                  <c:v>72.35</c:v>
                </c:pt>
                <c:pt idx="280">
                  <c:v>71.49</c:v>
                </c:pt>
                <c:pt idx="281">
                  <c:v>74.82</c:v>
                </c:pt>
                <c:pt idx="282">
                  <c:v>74.89</c:v>
                </c:pt>
                <c:pt idx="283">
                  <c:v>76.61</c:v>
                </c:pt>
                <c:pt idx="284">
                  <c:v>76.88</c:v>
                </c:pt>
                <c:pt idx="285">
                  <c:v>76.95</c:v>
                </c:pt>
                <c:pt idx="286">
                  <c:v>76.44</c:v>
                </c:pt>
                <c:pt idx="287">
                  <c:v>77</c:v>
                </c:pt>
                <c:pt idx="288">
                  <c:v>74.38</c:v>
                </c:pt>
                <c:pt idx="289">
                  <c:v>76.36</c:v>
                </c:pt>
                <c:pt idx="290">
                  <c:v>76.07</c:v>
                </c:pt>
                <c:pt idx="291">
                  <c:v>77.5</c:v>
                </c:pt>
                <c:pt idx="292">
                  <c:v>78.66</c:v>
                </c:pt>
                <c:pt idx="293">
                  <c:v>77.88</c:v>
                </c:pt>
                <c:pt idx="294">
                  <c:v>79.2</c:v>
                </c:pt>
                <c:pt idx="295">
                  <c:v>78.94</c:v>
                </c:pt>
                <c:pt idx="296">
                  <c:v>78.77</c:v>
                </c:pt>
                <c:pt idx="297">
                  <c:v>80.29</c:v>
                </c:pt>
                <c:pt idx="298">
                  <c:v>79.44</c:v>
                </c:pt>
                <c:pt idx="299">
                  <c:v>79.38</c:v>
                </c:pt>
                <c:pt idx="300">
                  <c:v>77.08</c:v>
                </c:pt>
                <c:pt idx="301">
                  <c:v>79.45</c:v>
                </c:pt>
                <c:pt idx="302">
                  <c:v>80.28</c:v>
                </c:pt>
                <c:pt idx="303">
                  <c:v>80.09</c:v>
                </c:pt>
                <c:pt idx="304">
                  <c:v>78.37</c:v>
                </c:pt>
                <c:pt idx="305">
                  <c:v>78.09</c:v>
                </c:pt>
                <c:pt idx="306">
                  <c:v>79.17</c:v>
                </c:pt>
                <c:pt idx="307">
                  <c:v>78.03</c:v>
                </c:pt>
                <c:pt idx="308">
                  <c:v>78.64</c:v>
                </c:pt>
                <c:pt idx="309">
                  <c:v>77.98</c:v>
                </c:pt>
                <c:pt idx="310">
                  <c:v>79.89</c:v>
                </c:pt>
                <c:pt idx="311">
                  <c:v>79.46</c:v>
                </c:pt>
                <c:pt idx="312">
                  <c:v>80.37</c:v>
                </c:pt>
                <c:pt idx="313">
                  <c:v>82.63</c:v>
                </c:pt>
                <c:pt idx="314">
                  <c:v>84.48</c:v>
                </c:pt>
                <c:pt idx="315">
                  <c:v>85.05</c:v>
                </c:pt>
                <c:pt idx="316">
                  <c:v>84.49</c:v>
                </c:pt>
                <c:pt idx="317">
                  <c:v>82.63</c:v>
                </c:pt>
                <c:pt idx="318">
                  <c:v>82.77</c:v>
                </c:pt>
                <c:pt idx="319">
                  <c:v>85.21</c:v>
                </c:pt>
                <c:pt idx="320">
                  <c:v>83.44</c:v>
                </c:pt>
                <c:pt idx="321">
                  <c:v>85.81</c:v>
                </c:pt>
                <c:pt idx="322">
                  <c:v>86.9</c:v>
                </c:pt>
                <c:pt idx="323">
                  <c:v>84.81</c:v>
                </c:pt>
                <c:pt idx="324">
                  <c:v>83.09</c:v>
                </c:pt>
                <c:pt idx="325">
                  <c:v>84.73</c:v>
                </c:pt>
                <c:pt idx="326">
                  <c:v>84.55</c:v>
                </c:pt>
                <c:pt idx="327">
                  <c:v>84.58</c:v>
                </c:pt>
                <c:pt idx="328">
                  <c:v>86.09</c:v>
                </c:pt>
                <c:pt idx="329">
                  <c:v>86.72</c:v>
                </c:pt>
                <c:pt idx="330">
                  <c:v>85.59</c:v>
                </c:pt>
                <c:pt idx="331">
                  <c:v>84.59</c:v>
                </c:pt>
                <c:pt idx="332">
                  <c:v>86.82</c:v>
                </c:pt>
                <c:pt idx="333">
                  <c:v>86.19</c:v>
                </c:pt>
                <c:pt idx="334">
                  <c:v>88.09</c:v>
                </c:pt>
                <c:pt idx="335">
                  <c:v>85.39</c:v>
                </c:pt>
                <c:pt idx="336">
                  <c:v>82.31</c:v>
                </c:pt>
                <c:pt idx="337">
                  <c:v>80.21</c:v>
                </c:pt>
                <c:pt idx="338">
                  <c:v>76.48</c:v>
                </c:pt>
                <c:pt idx="339">
                  <c:v>78.08</c:v>
                </c:pt>
                <c:pt idx="340">
                  <c:v>79</c:v>
                </c:pt>
                <c:pt idx="341">
                  <c:v>78.7</c:v>
                </c:pt>
                <c:pt idx="342">
                  <c:v>79.41</c:v>
                </c:pt>
                <c:pt idx="343">
                  <c:v>76.43</c:v>
                </c:pt>
                <c:pt idx="344">
                  <c:v>73.87</c:v>
                </c:pt>
                <c:pt idx="345">
                  <c:v>75.12</c:v>
                </c:pt>
                <c:pt idx="346">
                  <c:v>71.86</c:v>
                </c:pt>
                <c:pt idx="347">
                  <c:v>69.56</c:v>
                </c:pt>
                <c:pt idx="348">
                  <c:v>70.45</c:v>
                </c:pt>
                <c:pt idx="349">
                  <c:v>69.62</c:v>
                </c:pt>
                <c:pt idx="350">
                  <c:v>67.18</c:v>
                </c:pt>
                <c:pt idx="351">
                  <c:v>70.59</c:v>
                </c:pt>
                <c:pt idx="352">
                  <c:v>73.56</c:v>
                </c:pt>
                <c:pt idx="353">
                  <c:v>73</c:v>
                </c:pt>
                <c:pt idx="354">
                  <c:v>73.08</c:v>
                </c:pt>
                <c:pt idx="355">
                  <c:v>72.78</c:v>
                </c:pt>
                <c:pt idx="356">
                  <c:v>73.12</c:v>
                </c:pt>
                <c:pt idx="357">
                  <c:v>71.84</c:v>
                </c:pt>
                <c:pt idx="358">
                  <c:v>71.09</c:v>
                </c:pt>
                <c:pt idx="359">
                  <c:v>71.43</c:v>
                </c:pt>
                <c:pt idx="360">
                  <c:v>73.68</c:v>
                </c:pt>
                <c:pt idx="361">
                  <c:v>74.33</c:v>
                </c:pt>
                <c:pt idx="362">
                  <c:v>73.28</c:v>
                </c:pt>
                <c:pt idx="363">
                  <c:v>75.11</c:v>
                </c:pt>
                <c:pt idx="364">
                  <c:v>75.29</c:v>
                </c:pt>
                <c:pt idx="365">
                  <c:v>76.12</c:v>
                </c:pt>
                <c:pt idx="366">
                  <c:v>77.52</c:v>
                </c:pt>
                <c:pt idx="367">
                  <c:v>77.05</c:v>
                </c:pt>
                <c:pt idx="368">
                  <c:v>78.53</c:v>
                </c:pt>
                <c:pt idx="369">
                  <c:v>78.08</c:v>
                </c:pt>
                <c:pt idx="370">
                  <c:v>75.22</c:v>
                </c:pt>
                <c:pt idx="371">
                  <c:v>75.17</c:v>
                </c:pt>
                <c:pt idx="372">
                  <c:v>76.21</c:v>
                </c:pt>
                <c:pt idx="373">
                  <c:v>76.66</c:v>
                </c:pt>
                <c:pt idx="374">
                  <c:v>74.21</c:v>
                </c:pt>
                <c:pt idx="375">
                  <c:v>74.94</c:v>
                </c:pt>
                <c:pt idx="376">
                  <c:v>71.73</c:v>
                </c:pt>
                <c:pt idx="377">
                  <c:v>71.75</c:v>
                </c:pt>
                <c:pt idx="378">
                  <c:v>73.08</c:v>
                </c:pt>
                <c:pt idx="379">
                  <c:v>72.97</c:v>
                </c:pt>
                <c:pt idx="380">
                  <c:v>74.56</c:v>
                </c:pt>
                <c:pt idx="381">
                  <c:v>75.2</c:v>
                </c:pt>
                <c:pt idx="382">
                  <c:v>74.35</c:v>
                </c:pt>
                <c:pt idx="383">
                  <c:v>76.45</c:v>
                </c:pt>
                <c:pt idx="384">
                  <c:v>76.63</c:v>
                </c:pt>
                <c:pt idx="385">
                  <c:v>75.52</c:v>
                </c:pt>
                <c:pt idx="386">
                  <c:v>75.55</c:v>
                </c:pt>
                <c:pt idx="387">
                  <c:v>76.29</c:v>
                </c:pt>
                <c:pt idx="388">
                  <c:v>76.31</c:v>
                </c:pt>
                <c:pt idx="389">
                  <c:v>75.75</c:v>
                </c:pt>
                <c:pt idx="390">
                  <c:v>77.59</c:v>
                </c:pt>
                <c:pt idx="391">
                  <c:v>77.27</c:v>
                </c:pt>
                <c:pt idx="392">
                  <c:v>77.9</c:v>
                </c:pt>
                <c:pt idx="393">
                  <c:v>75.52</c:v>
                </c:pt>
                <c:pt idx="394">
                  <c:v>76.66</c:v>
                </c:pt>
                <c:pt idx="395">
                  <c:v>78.6</c:v>
                </c:pt>
                <c:pt idx="396">
                  <c:v>77.5</c:v>
                </c:pt>
                <c:pt idx="397">
                  <c:v>81.93</c:v>
                </c:pt>
                <c:pt idx="398">
                  <c:v>83.6</c:v>
                </c:pt>
                <c:pt idx="399">
                  <c:v>83.76</c:v>
                </c:pt>
                <c:pt idx="400">
                  <c:v>82.9</c:v>
                </c:pt>
                <c:pt idx="401">
                  <c:v>81.28</c:v>
                </c:pt>
                <c:pt idx="402">
                  <c:v>81.54</c:v>
                </c:pt>
                <c:pt idx="403">
                  <c:v>79.89</c:v>
                </c:pt>
                <c:pt idx="404">
                  <c:v>77.83</c:v>
                </c:pt>
                <c:pt idx="405">
                  <c:v>76.63</c:v>
                </c:pt>
                <c:pt idx="406">
                  <c:v>75.14</c:v>
                </c:pt>
                <c:pt idx="407">
                  <c:v>74.56</c:v>
                </c:pt>
                <c:pt idx="408">
                  <c:v>76.74</c:v>
                </c:pt>
                <c:pt idx="409">
                  <c:v>75.1</c:v>
                </c:pt>
                <c:pt idx="410">
                  <c:v>74.84</c:v>
                </c:pt>
                <c:pt idx="411">
                  <c:v>73.48</c:v>
                </c:pt>
                <c:pt idx="412">
                  <c:v>73.08</c:v>
                </c:pt>
                <c:pt idx="413">
                  <c:v>70.61</c:v>
                </c:pt>
                <c:pt idx="414">
                  <c:v>70.74</c:v>
                </c:pt>
                <c:pt idx="415">
                  <c:v>74.5</c:v>
                </c:pt>
                <c:pt idx="416">
                  <c:v>75.16</c:v>
                </c:pt>
                <c:pt idx="417">
                  <c:v>76.05</c:v>
                </c:pt>
                <c:pt idx="418">
                  <c:v>75.51</c:v>
                </c:pt>
                <c:pt idx="419">
                  <c:v>75.53</c:v>
                </c:pt>
                <c:pt idx="420">
                  <c:v>74.93</c:v>
                </c:pt>
                <c:pt idx="421">
                  <c:v>75.03</c:v>
                </c:pt>
                <c:pt idx="422">
                  <c:v>75.78</c:v>
                </c:pt>
                <c:pt idx="423">
                  <c:v>77.48</c:v>
                </c:pt>
                <c:pt idx="424">
                  <c:v>77.87</c:v>
                </c:pt>
                <c:pt idx="425">
                  <c:v>77.54</c:v>
                </c:pt>
                <c:pt idx="426">
                  <c:v>78.52</c:v>
                </c:pt>
                <c:pt idx="427">
                  <c:v>78.89</c:v>
                </c:pt>
                <c:pt idx="428">
                  <c:v>78.46</c:v>
                </c:pt>
                <c:pt idx="429">
                  <c:v>78.89</c:v>
                </c:pt>
                <c:pt idx="430">
                  <c:v>77.43</c:v>
                </c:pt>
                <c:pt idx="431">
                  <c:v>79.42</c:v>
                </c:pt>
                <c:pt idx="432">
                  <c:v>78.76</c:v>
                </c:pt>
                <c:pt idx="433">
                  <c:v>77.29</c:v>
                </c:pt>
                <c:pt idx="434">
                  <c:v>77.69</c:v>
                </c:pt>
                <c:pt idx="435">
                  <c:v>78.73</c:v>
                </c:pt>
                <c:pt idx="436">
                  <c:v>77.71</c:v>
                </c:pt>
                <c:pt idx="437">
                  <c:v>79.14</c:v>
                </c:pt>
                <c:pt idx="438">
                  <c:v>78.79</c:v>
                </c:pt>
                <c:pt idx="439">
                  <c:v>80.77</c:v>
                </c:pt>
                <c:pt idx="440">
                  <c:v>82.69</c:v>
                </c:pt>
                <c:pt idx="441">
                  <c:v>83.42</c:v>
                </c:pt>
                <c:pt idx="442">
                  <c:v>83.35</c:v>
                </c:pt>
                <c:pt idx="443">
                  <c:v>85.01</c:v>
                </c:pt>
                <c:pt idx="444">
                  <c:v>83.67</c:v>
                </c:pt>
                <c:pt idx="445">
                  <c:v>83.88</c:v>
                </c:pt>
                <c:pt idx="446">
                  <c:v>83.08</c:v>
                </c:pt>
                <c:pt idx="447">
                  <c:v>82.99</c:v>
                </c:pt>
                <c:pt idx="448">
                  <c:v>84.01</c:v>
                </c:pt>
                <c:pt idx="449">
                  <c:v>83.55</c:v>
                </c:pt>
                <c:pt idx="450">
                  <c:v>81.94</c:v>
                </c:pt>
                <c:pt idx="451">
                  <c:v>82.3</c:v>
                </c:pt>
                <c:pt idx="452">
                  <c:v>81.12</c:v>
                </c:pt>
                <c:pt idx="453">
                  <c:v>81.68</c:v>
                </c:pt>
                <c:pt idx="454">
                  <c:v>81.28</c:v>
                </c:pt>
                <c:pt idx="455">
                  <c:v>80.75</c:v>
                </c:pt>
                <c:pt idx="456">
                  <c:v>81.91</c:v>
                </c:pt>
                <c:pt idx="457">
                  <c:v>82.62</c:v>
                </c:pt>
                <c:pt idx="458">
                  <c:v>81.27</c:v>
                </c:pt>
                <c:pt idx="459">
                  <c:v>82.97</c:v>
                </c:pt>
                <c:pt idx="460">
                  <c:v>82.47</c:v>
                </c:pt>
                <c:pt idx="461">
                  <c:v>84.06</c:v>
                </c:pt>
                <c:pt idx="462">
                  <c:v>84.71</c:v>
                </c:pt>
                <c:pt idx="463">
                  <c:v>85.33</c:v>
                </c:pt>
                <c:pt idx="464">
                  <c:v>86.83</c:v>
                </c:pt>
                <c:pt idx="465">
                  <c:v>87.05</c:v>
                </c:pt>
                <c:pt idx="466">
                  <c:v>87.15</c:v>
                </c:pt>
                <c:pt idx="467">
                  <c:v>87.93</c:v>
                </c:pt>
                <c:pt idx="468">
                  <c:v>87.92</c:v>
                </c:pt>
                <c:pt idx="469">
                  <c:v>88.08</c:v>
                </c:pt>
                <c:pt idx="470">
                  <c:v>86.07</c:v>
                </c:pt>
                <c:pt idx="471">
                  <c:v>85.49</c:v>
                </c:pt>
                <c:pt idx="472">
                  <c:v>83.98</c:v>
                </c:pt>
                <c:pt idx="473">
                  <c:v>83.36</c:v>
                </c:pt>
                <c:pt idx="474">
                  <c:v>83.7</c:v>
                </c:pt>
                <c:pt idx="475">
                  <c:v>83.17</c:v>
                </c:pt>
                <c:pt idx="476">
                  <c:v>82.34</c:v>
                </c:pt>
                <c:pt idx="477">
                  <c:v>82.37</c:v>
                </c:pt>
                <c:pt idx="478">
                  <c:v>84.53</c:v>
                </c:pt>
                <c:pt idx="479">
                  <c:v>84.78</c:v>
                </c:pt>
                <c:pt idx="480">
                  <c:v>85.9</c:v>
                </c:pt>
                <c:pt idx="481">
                  <c:v>86.02</c:v>
                </c:pt>
                <c:pt idx="482">
                  <c:v>88.56</c:v>
                </c:pt>
                <c:pt idx="483">
                  <c:v>89.37</c:v>
                </c:pt>
                <c:pt idx="484">
                  <c:v>90.65</c:v>
                </c:pt>
                <c:pt idx="485">
                  <c:v>91.25</c:v>
                </c:pt>
                <c:pt idx="486">
                  <c:v>90.78</c:v>
                </c:pt>
                <c:pt idx="487">
                  <c:v>89.74</c:v>
                </c:pt>
                <c:pt idx="488">
                  <c:v>89.93</c:v>
                </c:pt>
                <c:pt idx="489">
                  <c:v>89.54</c:v>
                </c:pt>
                <c:pt idx="490">
                  <c:v>90.4</c:v>
                </c:pt>
                <c:pt idx="491">
                  <c:v>90.63</c:v>
                </c:pt>
                <c:pt idx="492">
                  <c:v>91.33</c:v>
                </c:pt>
                <c:pt idx="493">
                  <c:v>91.09</c:v>
                </c:pt>
                <c:pt idx="494">
                  <c:v>91.11</c:v>
                </c:pt>
                <c:pt idx="495">
                  <c:v>91.31</c:v>
                </c:pt>
                <c:pt idx="496">
                  <c:v>93.11</c:v>
                </c:pt>
                <c:pt idx="497">
                  <c:v>93.55</c:v>
                </c:pt>
                <c:pt idx="498">
                  <c:v>93.63</c:v>
                </c:pt>
                <c:pt idx="499">
                  <c:v>93.08</c:v>
                </c:pt>
                <c:pt idx="500">
                  <c:v>93.52</c:v>
                </c:pt>
                <c:pt idx="501">
                  <c:v>93.52</c:v>
                </c:pt>
                <c:pt idx="502">
                  <c:v>92.5</c:v>
                </c:pt>
                <c:pt idx="503">
                  <c:v>93.23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  <c:max val="95.000000"/>
          <c:min val="35.000000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0.00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Cross Correlation, Lag = 0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strRef>
              <c:f>Cross!$B$3</c:f>
              <c:strCache>
                <c:ptCount val="1"/>
                <c:pt idx="0">
                  <c:v>Inventory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Cross!$A$4:$A$21</c:f>
              <c:numCache>
                <c:formatCode>General</c:formatCode>
                <c:ptCount val="18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  <c:pt idx="15">
                  <c:v>43556</c:v>
                </c:pt>
                <c:pt idx="16">
                  <c:v>43586</c:v>
                </c:pt>
                <c:pt idx="17">
                  <c:v>43617</c:v>
                </c:pt>
              </c:numCache>
            </c:numRef>
          </c:cat>
          <c:val>
            <c:numRef>
              <c:f>Cross!$B$4:$B$21</c:f>
              <c:numCache>
                <c:formatCode>General</c:formatCode>
                <c:ptCount val="18"/>
                <c:pt idx="0">
                  <c:v>4.5</c:v>
                </c:pt>
                <c:pt idx="1">
                  <c:v>4.8</c:v>
                </c:pt>
                <c:pt idx="2">
                  <c:v>5.1</c:v>
                </c:pt>
                <c:pt idx="3">
                  <c:v>5.9</c:v>
                </c:pt>
                <c:pt idx="4">
                  <c:v>6.8</c:v>
                </c:pt>
                <c:pt idx="5">
                  <c:v>8</c:v>
                </c:pt>
                <c:pt idx="6">
                  <c:v>6.1</c:v>
                </c:pt>
                <c:pt idx="7">
                  <c:v>5.8</c:v>
                </c:pt>
                <c:pt idx="8">
                  <c:v>6.8</c:v>
                </c:pt>
                <c:pt idx="9">
                  <c:v>3.7</c:v>
                </c:pt>
                <c:pt idx="10">
                  <c:v>4.3</c:v>
                </c:pt>
                <c:pt idx="11">
                  <c:v>5.1</c:v>
                </c:pt>
                <c:pt idx="12">
                  <c:v>7.9</c:v>
                </c:pt>
                <c:pt idx="13">
                  <c:v>8.1</c:v>
                </c:pt>
                <c:pt idx="14">
                  <c:v>8</c:v>
                </c:pt>
                <c:pt idx="15">
                  <c:v>9.1</c:v>
                </c:pt>
                <c:pt idx="16">
                  <c:v>10.2</c:v>
                </c:pt>
                <c:pt idx="17">
                  <c:v>11.3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lineChart>
        <c:grouping val="standard"/>
        <c:varyColors val="0"/>
        <c:ser>
          <c:idx val="1"/>
          <c:order val="1"/>
          <c:tx>
            <c:strRef>
              <c:f>Cross!$C$3</c:f>
              <c:strCache>
                <c:ptCount val="1"/>
                <c:pt idx="0">
                  <c:v>Revenue</c:v>
                </c:pt>
              </c:strCache>
            </c:strRef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>Cross!$C$4:$C$21</c:f>
              <c:numCache>
                <c:formatCode>General</c:formatCode>
                <c:ptCount val="18"/>
                <c:pt idx="0">
                  <c:v>15.8</c:v>
                </c:pt>
                <c:pt idx="1">
                  <c:v>18.2</c:v>
                </c:pt>
                <c:pt idx="2">
                  <c:v>19.8</c:v>
                </c:pt>
                <c:pt idx="3">
                  <c:v>22.6</c:v>
                </c:pt>
                <c:pt idx="4">
                  <c:v>24</c:v>
                </c:pt>
                <c:pt idx="5">
                  <c:v>25.9</c:v>
                </c:pt>
                <c:pt idx="6">
                  <c:v>31.6</c:v>
                </c:pt>
                <c:pt idx="7">
                  <c:v>37.4</c:v>
                </c:pt>
                <c:pt idx="8">
                  <c:v>36.9</c:v>
                </c:pt>
                <c:pt idx="9">
                  <c:v>31.5</c:v>
                </c:pt>
                <c:pt idx="10">
                  <c:v>30.9</c:v>
                </c:pt>
                <c:pt idx="11">
                  <c:v>37.5</c:v>
                </c:pt>
                <c:pt idx="12">
                  <c:v>20.7</c:v>
                </c:pt>
                <c:pt idx="13">
                  <c:v>23.8</c:v>
                </c:pt>
                <c:pt idx="14">
                  <c:v>26.3</c:v>
                </c:pt>
                <c:pt idx="15">
                  <c:v>37.9</c:v>
                </c:pt>
                <c:pt idx="16">
                  <c:v>41.5</c:v>
                </c:pt>
                <c:pt idx="17">
                  <c:v>41.8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21"/>
        <c:axId val="20"/>
      </c:lineChart>
      <c:dateAx>
        <c:axId val="1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</c:date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valAx>
        <c:axId val="2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21"/>
        <c:crosses val="max"/>
        <c:crossBetween val="between"/>
      </c:valAx>
      <c:catAx>
        <c:axId val="2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spPr bwMode="auto">
          <a:prstGeom prst="rect">
            <a:avLst/>
          </a:prstGeom>
          <a:ln>
            <a:noFill/>
          </a:ln>
        </c:spPr>
        <c:crossAx val="20"/>
        <c:crosses val="autoZero"/>
        <c:auto val="1"/>
        <c:lblAlgn val="l"/>
        <c:noMultiLvlLbl val="0"/>
      </c:cat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Cross Correlation, Lag = 3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tx>
            <c:v>Inventory</c:v>
          </c:tx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Cross!$B$4:$B$18</c:f>
              <c:numCache>
                <c:formatCode>General</c:formatCode>
                <c:ptCount val="15"/>
                <c:pt idx="0">
                  <c:v>4.5</c:v>
                </c:pt>
                <c:pt idx="1">
                  <c:v>4.8</c:v>
                </c:pt>
                <c:pt idx="2">
                  <c:v>5.1</c:v>
                </c:pt>
                <c:pt idx="3">
                  <c:v>5.9</c:v>
                </c:pt>
                <c:pt idx="4">
                  <c:v>6.8</c:v>
                </c:pt>
                <c:pt idx="5">
                  <c:v>8</c:v>
                </c:pt>
                <c:pt idx="6">
                  <c:v>6.1</c:v>
                </c:pt>
                <c:pt idx="7">
                  <c:v>5.8</c:v>
                </c:pt>
                <c:pt idx="8">
                  <c:v>6.8</c:v>
                </c:pt>
                <c:pt idx="9">
                  <c:v>3.7</c:v>
                </c:pt>
                <c:pt idx="10">
                  <c:v>4.3</c:v>
                </c:pt>
                <c:pt idx="11">
                  <c:v>5.1</c:v>
                </c:pt>
                <c:pt idx="12">
                  <c:v>7.9</c:v>
                </c:pt>
                <c:pt idx="13">
                  <c:v>8.1</c:v>
                </c:pt>
                <c:pt idx="14">
                  <c:v>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lineChart>
        <c:grouping val="standard"/>
        <c:varyColors val="0"/>
        <c:ser>
          <c:idx val="1"/>
          <c:order val="1"/>
          <c:tx>
            <c:v>Revenue</c:v>
          </c:tx>
          <c:spPr bwMode="auto">
            <a:prstGeom prst="rect">
              <a:avLst/>
            </a:prstGeom>
            <a:ln w="28575">
              <a:solidFill>
                <a:srgbClr val="ED7D31"/>
              </a:solidFill>
            </a:ln>
          </c:spPr>
          <c:marker>
            <c:symbol val="none"/>
          </c:marker>
          <c:val>
            <c:numRef>
              <c:f>Cross!$C$7:$C$21</c:f>
              <c:numCache>
                <c:formatCode>General</c:formatCode>
                <c:ptCount val="15"/>
                <c:pt idx="0">
                  <c:v>22.6</c:v>
                </c:pt>
                <c:pt idx="1">
                  <c:v>24</c:v>
                </c:pt>
                <c:pt idx="2">
                  <c:v>25.9</c:v>
                </c:pt>
                <c:pt idx="3">
                  <c:v>31.6</c:v>
                </c:pt>
                <c:pt idx="4">
                  <c:v>37.4</c:v>
                </c:pt>
                <c:pt idx="5">
                  <c:v>36.9</c:v>
                </c:pt>
                <c:pt idx="6">
                  <c:v>31.5</c:v>
                </c:pt>
                <c:pt idx="7">
                  <c:v>30.9</c:v>
                </c:pt>
                <c:pt idx="8">
                  <c:v>37.5</c:v>
                </c:pt>
                <c:pt idx="9">
                  <c:v>20.7</c:v>
                </c:pt>
                <c:pt idx="10">
                  <c:v>23.8</c:v>
                </c:pt>
                <c:pt idx="11">
                  <c:v>26.3</c:v>
                </c:pt>
                <c:pt idx="12">
                  <c:v>37.9</c:v>
                </c:pt>
                <c:pt idx="13">
                  <c:v>41.5</c:v>
                </c:pt>
                <c:pt idx="14">
                  <c:v>41.8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21"/>
        <c:axId val="20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  <c:auto val="1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valAx>
        <c:axId val="20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21"/>
        <c:crosses val="max"/>
        <c:crossBetween val="between"/>
      </c:valAx>
      <c:catAx>
        <c:axId val="2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spPr bwMode="auto">
          <a:prstGeom prst="rect">
            <a:avLst/>
          </a:prstGeom>
          <a:ln>
            <a:noFill/>
          </a:ln>
        </c:spPr>
        <c:crossAx val="20"/>
        <c:crosses val="autoZero"/>
        <c:auto val="1"/>
        <c:lblAlgn val="l"/>
        <c:noMultiLvlLbl val="0"/>
      </c:cat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800" b="1" i="0" u="none" strike="noStrike">
                <a:solidFill>
                  <a:srgbClr val="000000"/>
                </a:solidFill>
                <a:latin typeface="Calibri"/>
              </a:defRPr>
            </a:pPr>
            <a:r>
              <a:rPr/>
              <a:t>Cross Correlation, Lag = 3</a:t>
            </a:r>
            <a:endParaRPr/>
          </a:p>
        </c:rich>
      </c:tx>
      <c:layout/>
      <c:overlay val="0"/>
    </c:title>
    <c:plotArea>
      <c:layout/>
      <c:lineChart>
        <c:grouping val="standard"/>
        <c:varyColors val="0"/>
        <c:ser>
          <c:idx val="0"/>
          <c:order val="0"/>
          <c:tx>
            <c:v xml:space="preserve">Series X</c:v>
          </c:tx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val>
            <c:numRef>
              <c:f>Cross!$B$4:$B$18</c:f>
              <c:numCache>
                <c:formatCode>General</c:formatCode>
                <c:ptCount val="15"/>
                <c:pt idx="0">
                  <c:v>4.5</c:v>
                </c:pt>
                <c:pt idx="1">
                  <c:v>4.8</c:v>
                </c:pt>
                <c:pt idx="2">
                  <c:v>5.1</c:v>
                </c:pt>
                <c:pt idx="3">
                  <c:v>5.9</c:v>
                </c:pt>
                <c:pt idx="4">
                  <c:v>6.8</c:v>
                </c:pt>
                <c:pt idx="5">
                  <c:v>8</c:v>
                </c:pt>
                <c:pt idx="6">
                  <c:v>6.1</c:v>
                </c:pt>
                <c:pt idx="7">
                  <c:v>5.8</c:v>
                </c:pt>
                <c:pt idx="8">
                  <c:v>6.8</c:v>
                </c:pt>
                <c:pt idx="9">
                  <c:v>3.7</c:v>
                </c:pt>
                <c:pt idx="10">
                  <c:v>4.3</c:v>
                </c:pt>
                <c:pt idx="11">
                  <c:v>5.1</c:v>
                </c:pt>
                <c:pt idx="12">
                  <c:v>7.9</c:v>
                </c:pt>
                <c:pt idx="13">
                  <c:v>8.1</c:v>
                </c:pt>
                <c:pt idx="14">
                  <c:v>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lineChart>
        <c:grouping val="standard"/>
        <c:varyColors val="0"/>
        <c:ser>
          <c:idx val="1"/>
          <c:order val="1"/>
          <c:tx>
            <c:v xml:space="preserve">Series Y</c:v>
          </c:tx>
          <c:marker>
            <c:symbol val="none"/>
          </c:marker>
          <c:val>
            <c:numRef>
              <c:f>Cross!$C$7:$C$21</c:f>
              <c:numCache>
                <c:formatCode>General</c:formatCode>
                <c:ptCount val="15"/>
                <c:pt idx="0">
                  <c:v>22.6</c:v>
                </c:pt>
                <c:pt idx="1">
                  <c:v>24</c:v>
                </c:pt>
                <c:pt idx="2">
                  <c:v>25.9</c:v>
                </c:pt>
                <c:pt idx="3">
                  <c:v>31.6</c:v>
                </c:pt>
                <c:pt idx="4">
                  <c:v>37.4</c:v>
                </c:pt>
                <c:pt idx="5">
                  <c:v>36.9</c:v>
                </c:pt>
                <c:pt idx="6">
                  <c:v>31.5</c:v>
                </c:pt>
                <c:pt idx="7">
                  <c:v>30.9</c:v>
                </c:pt>
                <c:pt idx="8">
                  <c:v>37.5</c:v>
                </c:pt>
                <c:pt idx="9">
                  <c:v>20.7</c:v>
                </c:pt>
                <c:pt idx="10">
                  <c:v>23.8</c:v>
                </c:pt>
                <c:pt idx="11">
                  <c:v>26.3</c:v>
                </c:pt>
                <c:pt idx="12">
                  <c:v>37.9</c:v>
                </c:pt>
                <c:pt idx="13">
                  <c:v>41.5</c:v>
                </c:pt>
                <c:pt idx="14">
                  <c:v>41.8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21"/>
        <c:axId val="20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  <c:noMultiLvlLbl val="0"/>
      </c:catAx>
      <c:valAx>
        <c:axId val="11"/>
        <c:scaling>
          <c:orientation val="minMax"/>
        </c:scaling>
        <c:delete val="0"/>
        <c:axPos val="l"/>
        <c:majorGridlines>
          <c:spPr bwMode="auto"/>
        </c:majorGridlines>
        <c:numFmt formatCode="General" sourceLinked="1"/>
        <c:majorTickMark val="out"/>
        <c:minorTickMark val="none"/>
        <c:tickLblPos val="nextTo"/>
        <c:crossAx val="10"/>
        <c:crosses val="autoZero"/>
        <c:crossBetween val="between"/>
      </c:valAx>
      <c:valAx>
        <c:axId val="20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crossAx val="21"/>
        <c:crosses val="max"/>
        <c:crossBetween val="between"/>
      </c:valAx>
      <c:catAx>
        <c:axId val="2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spPr bwMode="auto">
          <a:prstGeom prst="rect">
            <a:avLst/>
          </a:prstGeom>
          <a:ln>
            <a:noFill/>
          </a:ln>
        </c:spPr>
        <c:crossAx val="20"/>
        <c:crosses val="autoZero"/>
        <c:auto val="1"/>
        <c:lblAlgn val="l"/>
        <c:noMultiLvlLbl val="0"/>
      </c:catAx>
    </c:plotArea>
    <c:legend>
      <c:legendPos val="b"/>
      <c:layout/>
      <c:overlay val="0"/>
      <c:spPr bwMode="auto">
        <a:prstGeom prst="rect">
          <a:avLst/>
        </a:prstGeom>
        <a:ln w="9525">
          <a:noFill/>
        </a:ln>
      </c:spPr>
    </c:legend>
    <c:plotVisOnly val="1"/>
    <c:dispBlanksAs val="gap"/>
    <c:showDLblsOverMax val="0"/>
  </c:chart>
  <c:spPr bwMode="auto">
    <a:xfrm>
      <a:off x="0" y="0"/>
      <a:ext cx="0" cy="0"/>
    </a:xfrm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mc="http://schemas.openxmlformats.org/markup-compatibility/2006" xmlns:c15="http://schemas.microsoft.com/office/drawing/2012/chart" xmlns:c14="http://schemas.microsoft.com/office/drawing/2007/8/2/chart" xmlns:c16r2="http://schemas.microsoft.com/office/drawing/2015/06/chart">
  <c:date1904 val="0"/>
  <c:roundedCorners val="0"/>
  <mc:AlternateContent>
    <mc:Choice Requires="c14">
      <c14:style val="102"/>
    </mc:Choice>
    <mc:Fallback>
      <c:style val="2"/>
    </mc:Fallback>
  </mc:AlternateContent>
  <c:chart>
    <c:title>
      <c:tx>
        <c:rich>
          <a:bodyPr anchor="ctr" anchorCtr="1"/>
          <a:lstStyle/>
          <a:p>
            <a:pPr>
              <a:defRPr sz="1400" b="0" i="0" u="none" strike="noStrike">
                <a:solidFill>
                  <a:srgbClr val="595959"/>
                </a:solidFill>
                <a:latin typeface="Calibri"/>
              </a:defRPr>
            </a:pPr>
            <a:r>
              <a:rPr/>
              <a:t>Cross Correlation, Lag = 3</a:t>
            </a:r>
            <a:endParaRPr/>
          </a:p>
        </c:rich>
      </c:tx>
      <c:layout/>
      <c:overlay val="0"/>
      <c:spPr bwMode="auto">
        <a:prstGeom prst="rect">
          <a:avLst/>
        </a:prstGeom>
        <a:noFill/>
        <a:ln w="9525">
          <a:noFill/>
        </a:ln>
      </c:spPr>
    </c:title>
    <c:plotArea>
      <c:layout/>
      <c:lineChart>
        <c:grouping val="standard"/>
        <c:varyColors val="0"/>
        <c:ser>
          <c:idx val="0"/>
          <c:order val="0"/>
          <c:spPr bwMode="auto">
            <a:prstGeom prst="rect">
              <a:avLst/>
            </a:prstGeom>
            <a:ln w="28575">
              <a:solidFill>
                <a:srgbClr val="5B9BD5"/>
              </a:solidFill>
            </a:ln>
          </c:spPr>
          <c:marker>
            <c:symbol val="none"/>
          </c:marker>
          <c:dLbls>
            <c:numFmt formatCode="General" sourceLinked="1"/>
            <c:showBubbleSize val="0"/>
            <c:showCatName val="0"/>
            <c:showLeaderLines val="0"/>
            <c:showLegendKey val="0"/>
            <c:showPercent val="0"/>
            <c:showSerName val="0"/>
            <c:showVal val="0"/>
            <c:spPr bwMode="auto">
              <a:prstGeom prst="rect">
                <a:avLst/>
              </a:prstGeom>
              <a:noFill/>
              <a:ln w="9525">
                <a:noFill/>
              </a:ln>
            </c:spPr>
          </c:dLbls>
          <c:cat>
            <c:numRef>
              <c:f>Cross!$A$4:$A$18</c:f>
              <c:numCache>
                <c:formatCode>General</c:formatCode>
                <c:ptCount val="15"/>
                <c:pt idx="0">
                  <c:v>43101</c:v>
                </c:pt>
                <c:pt idx="1">
                  <c:v>43132</c:v>
                </c:pt>
                <c:pt idx="2">
                  <c:v>43160</c:v>
                </c:pt>
                <c:pt idx="3">
                  <c:v>43191</c:v>
                </c:pt>
                <c:pt idx="4">
                  <c:v>43221</c:v>
                </c:pt>
                <c:pt idx="5">
                  <c:v>43252</c:v>
                </c:pt>
                <c:pt idx="6">
                  <c:v>43282</c:v>
                </c:pt>
                <c:pt idx="7">
                  <c:v>43313</c:v>
                </c:pt>
                <c:pt idx="8">
                  <c:v>43344</c:v>
                </c:pt>
                <c:pt idx="9">
                  <c:v>43374</c:v>
                </c:pt>
                <c:pt idx="10">
                  <c:v>43405</c:v>
                </c:pt>
                <c:pt idx="11">
                  <c:v>43435</c:v>
                </c:pt>
                <c:pt idx="12">
                  <c:v>43466</c:v>
                </c:pt>
                <c:pt idx="13">
                  <c:v>43497</c:v>
                </c:pt>
                <c:pt idx="14">
                  <c:v>43525</c:v>
                </c:pt>
              </c:numCache>
            </c:numRef>
          </c:cat>
          <c:val>
            <c:numRef>
              <c:f>Cross!$B$4:$B$18</c:f>
              <c:numCache>
                <c:formatCode>General</c:formatCode>
                <c:ptCount val="15"/>
                <c:pt idx="0">
                  <c:v>4.5</c:v>
                </c:pt>
                <c:pt idx="1">
                  <c:v>4.8</c:v>
                </c:pt>
                <c:pt idx="2">
                  <c:v>5.1</c:v>
                </c:pt>
                <c:pt idx="3">
                  <c:v>5.9</c:v>
                </c:pt>
                <c:pt idx="4">
                  <c:v>6.8</c:v>
                </c:pt>
                <c:pt idx="5">
                  <c:v>8</c:v>
                </c:pt>
                <c:pt idx="6">
                  <c:v>6.1</c:v>
                </c:pt>
                <c:pt idx="7">
                  <c:v>5.8</c:v>
                </c:pt>
                <c:pt idx="8">
                  <c:v>6.8</c:v>
                </c:pt>
                <c:pt idx="9">
                  <c:v>3.7</c:v>
                </c:pt>
                <c:pt idx="10">
                  <c:v>4.3</c:v>
                </c:pt>
                <c:pt idx="11">
                  <c:v>5.1</c:v>
                </c:pt>
                <c:pt idx="12">
                  <c:v>7.9</c:v>
                </c:pt>
                <c:pt idx="13">
                  <c:v>8.1</c:v>
                </c:pt>
                <c:pt idx="14">
                  <c:v>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10"/>
        <c:axId val="11"/>
      </c:lineChart>
      <c:lineChart>
        <c:grouping val="standard"/>
        <c:varyColors val="0"/>
        <c:ser>
          <c:idx val="1"/>
          <c:order val="1"/>
          <c:spPr bwMode="auto">
            <a:prstGeom prst="rect">
              <a:avLst/>
            </a:prstGeom>
            <a:ln w="28575">
              <a:solidFill>
                <a:srgbClr val="ED7D31"/>
              </a:solidFill>
              <a:round/>
            </a:ln>
          </c:spPr>
          <c:marker>
            <c:symbol val="none"/>
          </c:marker>
          <c:val>
            <c:numRef>
              <c:f>Cross!$C$7:$C$21</c:f>
              <c:numCache>
                <c:formatCode>General</c:formatCode>
                <c:ptCount val="15"/>
                <c:pt idx="0">
                  <c:v>22.6</c:v>
                </c:pt>
                <c:pt idx="1">
                  <c:v>24</c:v>
                </c:pt>
                <c:pt idx="2">
                  <c:v>25.9</c:v>
                </c:pt>
                <c:pt idx="3">
                  <c:v>31.6</c:v>
                </c:pt>
                <c:pt idx="4">
                  <c:v>37.4</c:v>
                </c:pt>
                <c:pt idx="5">
                  <c:v>36.9</c:v>
                </c:pt>
                <c:pt idx="6">
                  <c:v>31.5</c:v>
                </c:pt>
                <c:pt idx="7">
                  <c:v>30.9</c:v>
                </c:pt>
                <c:pt idx="8">
                  <c:v>37.5</c:v>
                </c:pt>
                <c:pt idx="9">
                  <c:v>20.7</c:v>
                </c:pt>
                <c:pt idx="10">
                  <c:v>23.8</c:v>
                </c:pt>
                <c:pt idx="11">
                  <c:v>26.3</c:v>
                </c:pt>
                <c:pt idx="12">
                  <c:v>37.9</c:v>
                </c:pt>
                <c:pt idx="13">
                  <c:v>41.5</c:v>
                </c:pt>
                <c:pt idx="14">
                  <c:v>41.8</c:v>
                </c:pt>
              </c:numCache>
            </c:numRef>
          </c:val>
          <c:smooth val="0"/>
        </c:ser>
        <c:dLbls>
          <c:showBubbleSize val="0"/>
          <c:showCatName val="0"/>
          <c:showLeaderLines val="0"/>
          <c:showLegendKey val="0"/>
          <c:showPercent val="0"/>
          <c:showSerName val="0"/>
          <c:showVal val="0"/>
        </c:dLbls>
        <c:smooth val="0"/>
        <c:axId val="21"/>
        <c:axId val="20"/>
      </c:lineChart>
      <c:dateAx>
        <c:axId val="10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solidFill>
              <a:srgbClr val="D8D8D8"/>
            </a:solidFill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1"/>
        <c:crosses val="autoZero"/>
      </c:dateAx>
      <c:valAx>
        <c:axId val="11"/>
        <c:scaling>
          <c:orientation val="minMax"/>
        </c:scaling>
        <c:delete val="0"/>
        <c:axPos val="l"/>
        <c:majorGridlines>
          <c:spPr bwMode="auto">
            <a:prstGeom prst="rect">
              <a:avLst/>
            </a:prstGeom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10"/>
        <c:crosses val="autoZero"/>
        <c:crossBetween val="between"/>
      </c:valAx>
      <c:valAx>
        <c:axId val="20"/>
        <c:scaling>
          <c:orientation val="minMax"/>
        </c:scaling>
        <c:delete val="0"/>
        <c:axPos val="r"/>
        <c:numFmt formatCode="0.0" sourceLinked="1"/>
        <c:majorTickMark val="out"/>
        <c:minorTickMark val="none"/>
        <c:tickLblPos val="nextTo"/>
        <c:spPr bwMode="auto">
          <a:prstGeom prst="rect">
            <a:avLst/>
          </a:prstGeom>
          <a:ln w="9525">
            <a:noFill/>
          </a:ln>
        </c:spPr>
        <c:txPr>
          <a:bodyPr rot="-60000000" anchor="ctr" anchorCtr="1"/>
          <a:lstStyle/>
          <a:p>
            <a:pPr>
              <a:defRPr sz="900" b="0" i="0" u="none" strike="noStrike">
                <a:solidFill>
                  <a:srgbClr val="595959"/>
                </a:solidFill>
                <a:latin typeface="Calibri"/>
              </a:defRPr>
            </a:pPr>
            <a:endParaRPr/>
          </a:p>
        </c:txPr>
        <c:crossAx val="21"/>
        <c:crosses val="max"/>
        <c:crossBetween val="between"/>
      </c:valAx>
      <c:catAx>
        <c:axId val="2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spPr bwMode="auto">
          <a:prstGeom prst="rect">
            <a:avLst/>
          </a:prstGeom>
          <a:ln>
            <a:noFill/>
          </a:ln>
        </c:spPr>
        <c:crossAx val="20"/>
        <c:crosses val="max"/>
        <c:auto val="1"/>
        <c:lblAlgn val="l"/>
        <c:noMultiLvlLbl val="0"/>
      </c:catAx>
      <c:spPr bwMode="auto">
        <a:prstGeom prst="rect">
          <a:avLst/>
        </a:prstGeom>
        <a:noFill/>
        <a:ln w="9525">
          <a:noFill/>
        </a:ln>
      </c:spPr>
    </c:plotArea>
    <c:legend>
      <c:legendPos val="b"/>
      <c:layout/>
      <c:overlay val="0"/>
      <c:spPr bwMode="auto">
        <a:prstGeom prst="rect">
          <a:avLst/>
        </a:prstGeom>
        <a:noFill/>
        <a:ln w="9525">
          <a:noFill/>
        </a:ln>
      </c:spPr>
      <c:txPr>
        <a:bodyPr anchor="ctr" anchorCtr="1"/>
        <a:lstStyle/>
        <a:p>
          <a:pPr>
            <a:defRPr sz="900" b="0" i="0" u="none" strike="noStrike">
              <a:solidFill>
                <a:srgbClr val="595959"/>
              </a:solidFill>
              <a:latin typeface="Calibri"/>
            </a:defRPr>
          </a:pPr>
          <a:endParaRPr/>
        </a:p>
      </c:txPr>
    </c:legend>
    <c:plotVisOnly val="1"/>
    <c:dispBlanksAs val="gap"/>
    <c:showDLblsOverMax val="0"/>
  </c:chart>
  <c:spPr bwMode="auto">
    <a:xfrm>
      <a:off x="0" y="0"/>
      <a:ext cx="0" cy="0"/>
    </a:xfrm>
    <a:prstGeom prst="rect">
      <a:avLst/>
    </a:prstGeom>
    <a:solidFill>
      <a:srgbClr val="FFFFFF"/>
    </a:solidFill>
    <a:ln w="9525">
      <a:solidFill>
        <a:srgbClr val="D8D8D8"/>
      </a:solidFill>
    </a:ln>
  </c:spPr>
  <c:txPr>
    <a:bodyPr rot="0" anchor="t"/>
    <a:lstStyle/>
    <a:p>
      <a:pPr>
        <a:defRPr sz="1000" b="0" i="0" u="none" strike="noStrike">
          <a:solidFill>
            <a:srgbClr val="000000"/>
          </a:solidFill>
          <a:latin typeface="Calibri"/>
        </a:defRPr>
      </a:pPr>
      <a:endParaRPr/>
    </a:p>
  </c:txPr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 /><Relationship Id="rId2" Type="http://schemas.openxmlformats.org/officeDocument/2006/relationships/chart" Target="../charts/chart3.xml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6.xml" /><Relationship Id="rId2" Type="http://schemas.openxmlformats.org/officeDocument/2006/relationships/chart" Target="../charts/chart7.xml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chart" Target="../charts/chart8.xml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chart" Target="../charts/chart9.xml" 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chart" Target="../charts/chart10.xml" /><Relationship Id="rId2" Type="http://schemas.openxmlformats.org/officeDocument/2006/relationships/chart" Target="../charts/chart11.xml" 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chart" Target="../charts/chart12.xml" 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chart" Target="../charts/chart13.xml" /><Relationship Id="rId2" Type="http://schemas.openxmlformats.org/officeDocument/2006/relationships/chart" Target="../charts/chart14.xml" 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chart" Target="../charts/chart15.xml" 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chart" Target="../charts/chart16.xml" /><Relationship Id="rId2" Type="http://schemas.openxmlformats.org/officeDocument/2006/relationships/chart" Target="../charts/chart17.xml" /></Relationships>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chart" Target="../charts/chart18.xml" /><Relationship Id="rId2" Type="http://schemas.openxmlformats.org/officeDocument/2006/relationships/chart" Target="../charts/chart19.xml" /></Relationships>
</file>

<file path=xl/drawings/_rels/drawing14.xml.rels><?xml version="1.0" encoding="UTF-8" standalone="yes"?><Relationships xmlns="http://schemas.openxmlformats.org/package/2006/relationships"><Relationship Id="rId1" Type="http://schemas.openxmlformats.org/officeDocument/2006/relationships/chart" Target="../charts/chart20.xml" /></Relationships>
</file>

<file path=xl/drawings/_rels/drawing15.xml.rels><?xml version="1.0" encoding="UTF-8" standalone="yes"?><Relationships xmlns="http://schemas.openxmlformats.org/package/2006/relationships"><Relationship Id="rId1" Type="http://schemas.openxmlformats.org/officeDocument/2006/relationships/chart" Target="../charts/chart21.xml" /></Relationships>
</file>

<file path=xl/drawings/_rels/drawing16.xml.rels><?xml version="1.0" encoding="UTF-8" standalone="yes"?><Relationships xmlns="http://schemas.openxmlformats.org/package/2006/relationships"><Relationship Id="rId1" Type="http://schemas.openxmlformats.org/officeDocument/2006/relationships/chart" Target="../charts/chart22.xml" /></Relationships>
</file>

<file path=xl/drawings/_rels/drawing17.xml.rels><?xml version="1.0" encoding="UTF-8" standalone="yes"?><Relationships xmlns="http://schemas.openxmlformats.org/package/2006/relationships"><Relationship Id="rId1" Type="http://schemas.openxmlformats.org/officeDocument/2006/relationships/chart" Target="../charts/chart23.xml" /></Relationships>
</file>

<file path=xl/drawings/_rels/drawing18.xml.rels><?xml version="1.0" encoding="UTF-8" standalone="yes"?><Relationships xmlns="http://schemas.openxmlformats.org/package/2006/relationships"><Relationship Id="rId1" Type="http://schemas.openxmlformats.org/officeDocument/2006/relationships/chart" Target="../charts/chart24.xml" /></Relationships>
</file>

<file path=xl/drawings/_rels/drawing19.xml.rels><?xml version="1.0" encoding="UTF-8" standalone="yes"?><Relationships xmlns="http://schemas.openxmlformats.org/package/2006/relationships"><Relationship Id="rId1" Type="http://schemas.openxmlformats.org/officeDocument/2006/relationships/chart" Target="../charts/chart25.xml" /></Relationships>
</file>

<file path=xl/drawings/_rels/drawing20.xml.rels><?xml version="1.0" encoding="UTF-8" standalone="yes"?><Relationships xmlns="http://schemas.openxmlformats.org/package/2006/relationships"><Relationship Id="rId1" Type="http://schemas.openxmlformats.org/officeDocument/2006/relationships/chart" Target="../charts/chart26.xml" /></Relationships>
</file>

<file path=xl/drawings/_rels/drawing21.xml.rels><?xml version="1.0" encoding="UTF-8" standalone="yes"?><Relationships xmlns="http://schemas.openxmlformats.org/package/2006/relationships"><Relationship Id="rId1" Type="http://schemas.openxmlformats.org/officeDocument/2006/relationships/chart" Target="../charts/chart27.xml" /></Relationships>
</file>

<file path=xl/drawings/_rels/drawing22.xml.rels><?xml version="1.0" encoding="UTF-8" standalone="yes"?><Relationships xmlns="http://schemas.openxmlformats.org/package/2006/relationships"><Relationship Id="rId1" Type="http://schemas.openxmlformats.org/officeDocument/2006/relationships/chart" Target="../charts/chart28.xml" /></Relationships>
</file>

<file path=xl/drawings/_rels/drawing23.xml.rels><?xml version="1.0" encoding="UTF-8" standalone="yes"?><Relationships xmlns="http://schemas.openxmlformats.org/package/2006/relationships"><Relationship Id="rId1" Type="http://schemas.openxmlformats.org/officeDocument/2006/relationships/chart" Target="../charts/chart29.xml" /><Relationship Id="rId2" Type="http://schemas.openxmlformats.org/officeDocument/2006/relationships/chart" Target="../charts/chart30.xml" /></Relationships>
</file>

<file path=xl/drawings/_rels/drawing24.xml.rels><?xml version="1.0" encoding="UTF-8" standalone="yes"?><Relationships xmlns="http://schemas.openxmlformats.org/package/2006/relationships"><Relationship Id="rId1" Type="http://schemas.openxmlformats.org/officeDocument/2006/relationships/chart" Target="../charts/chart31.xml" /></Relationships>
</file>

<file path=xl/drawings/_rels/drawing25.xml.rels><?xml version="1.0" encoding="UTF-8" standalone="yes"?><Relationships xmlns="http://schemas.openxmlformats.org/package/2006/relationships"><Relationship Id="rId1" Type="http://schemas.openxmlformats.org/officeDocument/2006/relationships/chart" Target="../charts/chart32.xml" /></Relationships>
</file>

<file path=xl/drawings/_rels/drawing26.xml.rels><?xml version="1.0" encoding="UTF-8" standalone="yes"?><Relationships xmlns="http://schemas.openxmlformats.org/package/2006/relationships"><Relationship Id="rId1" Type="http://schemas.openxmlformats.org/officeDocument/2006/relationships/chart" Target="../charts/chart33.xml" /><Relationship Id="rId2" Type="http://schemas.openxmlformats.org/officeDocument/2006/relationships/chart" Target="../charts/chart34.xml" /></Relationships>
</file>

<file path=xl/drawings/_rels/drawing27.xml.rels><?xml version="1.0" encoding="UTF-8" standalone="yes"?><Relationships xmlns="http://schemas.openxmlformats.org/package/2006/relationships"><Relationship Id="rId1" Type="http://schemas.openxmlformats.org/officeDocument/2006/relationships/chart" Target="../charts/chart35.xml" /><Relationship Id="rId2" Type="http://schemas.openxmlformats.org/officeDocument/2006/relationships/chart" Target="../charts/chart36.xml" /><Relationship Id="rId3" Type="http://schemas.openxmlformats.org/officeDocument/2006/relationships/chart" Target="../charts/chart37.xml" /></Relationships>
</file>

<file path=xl/drawings/_rels/drawing28.xml.rels><?xml version="1.0" encoding="UTF-8" standalone="yes"?><Relationships xmlns="http://schemas.openxmlformats.org/package/2006/relationships"><Relationship Id="rId1" Type="http://schemas.openxmlformats.org/officeDocument/2006/relationships/chart" Target="../charts/chart38.xml" /><Relationship Id="rId2" Type="http://schemas.openxmlformats.org/officeDocument/2006/relationships/chart" Target="../charts/chart39.xml" /></Relationships>
</file>

<file path=xl/drawings/_rels/drawing29.xml.rels><?xml version="1.0" encoding="UTF-8" standalone="yes"?><Relationships xmlns="http://schemas.openxmlformats.org/package/2006/relationships"><Relationship Id="rId1" Type="http://schemas.openxmlformats.org/officeDocument/2006/relationships/chart" Target="../charts/chart40.xml" /><Relationship Id="rId2" Type="http://schemas.openxmlformats.org/officeDocument/2006/relationships/chart" Target="../charts/chart41.xml" /></Relationships>
</file>

<file path=xl/drawings/_rels/drawing30.xml.rels><?xml version="1.0" encoding="UTF-8" standalone="yes"?><Relationships xmlns="http://schemas.openxmlformats.org/package/2006/relationships"><Relationship Id="rId1" Type="http://schemas.openxmlformats.org/officeDocument/2006/relationships/chart" Target="../charts/chart42.xml" /><Relationship Id="rId2" Type="http://schemas.openxmlformats.org/officeDocument/2006/relationships/chart" Target="../charts/chart43.xml" /></Relationships>
</file>

<file path=xl/drawings/_rels/drawing31.xml.rels><?xml version="1.0" encoding="UTF-8" standalone="yes"?><Relationships xmlns="http://schemas.openxmlformats.org/package/2006/relationships"><Relationship Id="rId1" Type="http://schemas.openxmlformats.org/officeDocument/2006/relationships/chart" Target="../charts/chart44.xml" /><Relationship Id="rId2" Type="http://schemas.openxmlformats.org/officeDocument/2006/relationships/chart" Target="../charts/chart45.xml" /></Relationships>
</file>

<file path=xl/drawings/_rels/drawing32.xml.rels><?xml version="1.0" encoding="UTF-8" standalone="yes"?><Relationships xmlns="http://schemas.openxmlformats.org/package/2006/relationships"><Relationship Id="rId1" Type="http://schemas.openxmlformats.org/officeDocument/2006/relationships/chart" Target="../charts/chart46.xml" /></Relationships>
</file>

<file path=xl/drawings/_rels/drawing33.xml.rels><?xml version="1.0" encoding="UTF-8" standalone="yes"?><Relationships xmlns="http://schemas.openxmlformats.org/package/2006/relationships"><Relationship Id="rId1" Type="http://schemas.openxmlformats.org/officeDocument/2006/relationships/chart" Target="../charts/chart47.xml" /></Relationships>
</file>

<file path=xl/drawings/_rels/drawing34.xml.rels><?xml version="1.0" encoding="UTF-8" standalone="yes"?><Relationships xmlns="http://schemas.openxmlformats.org/package/2006/relationships"><Relationship Id="rId1" Type="http://schemas.openxmlformats.org/officeDocument/2006/relationships/chart" Target="../charts/chart48.xml" /></Relationships>
</file>

<file path=xl/drawings/_rels/drawing35.xml.rels><?xml version="1.0" encoding="UTF-8" standalone="yes"?><Relationships xmlns="http://schemas.openxmlformats.org/package/2006/relationships"><Relationship Id="rId1" Type="http://schemas.openxmlformats.org/officeDocument/2006/relationships/chart" Target="../charts/chart49.xml" /><Relationship Id="rId2" Type="http://schemas.openxmlformats.org/officeDocument/2006/relationships/chart" Target="../charts/chart50.xml" /></Relationships>
</file>

<file path=xl/drawings/_rels/drawing36.xml.rels><?xml version="1.0" encoding="UTF-8" standalone="yes"?><Relationships xmlns="http://schemas.openxmlformats.org/package/2006/relationships"><Relationship Id="rId1" Type="http://schemas.openxmlformats.org/officeDocument/2006/relationships/chart" Target="../charts/chart51.xml" /></Relationships>
</file>

<file path=xl/drawings/_rels/drawing37.xml.rels><?xml version="1.0" encoding="UTF-8" standalone="yes"?><Relationships xmlns="http://schemas.openxmlformats.org/package/2006/relationships"><Relationship Id="rId1" Type="http://schemas.openxmlformats.org/officeDocument/2006/relationships/chart" Target="../charts/chart52.xml" /></Relationships>
</file>

<file path=xl/drawings/_rels/drawing38.xml.rels><?xml version="1.0" encoding="UTF-8" standalone="yes"?><Relationships xmlns="http://schemas.openxmlformats.org/package/2006/relationships"><Relationship Id="rId1" Type="http://schemas.openxmlformats.org/officeDocument/2006/relationships/chart" Target="../charts/chart53.xml" /><Relationship Id="rId2" Type="http://schemas.openxmlformats.org/officeDocument/2006/relationships/chart" Target="../charts/chart54.xml" /><Relationship Id="rId3" Type="http://schemas.openxmlformats.org/officeDocument/2006/relationships/chart" Target="../charts/chart55.xml" /></Relationships>
</file>

<file path=xl/drawings/_rels/drawing39.xml.rels><?xml version="1.0" encoding="UTF-8" standalone="yes"?><Relationships xmlns="http://schemas.openxmlformats.org/package/2006/relationships"><Relationship Id="rId1" Type="http://schemas.openxmlformats.org/officeDocument/2006/relationships/chart" Target="../charts/chart56.xml" /></Relationships>
</file>

<file path=xl/drawings/_rels/drawing40.xml.rels><?xml version="1.0" encoding="UTF-8" standalone="yes"?><Relationships xmlns="http://schemas.openxmlformats.org/package/2006/relationships"><Relationship Id="rId1" Type="http://schemas.openxmlformats.org/officeDocument/2006/relationships/chart" Target="../charts/chart57.xml" /></Relationships>
</file>

<file path=xl/drawings/_rels/drawing41.xml.rels><?xml version="1.0" encoding="UTF-8" standalone="yes"?><Relationships xmlns="http://schemas.openxmlformats.org/package/2006/relationships"><Relationship Id="rId1" Type="http://schemas.openxmlformats.org/officeDocument/2006/relationships/chart" Target="../charts/chart58.xml" /></Relationships>
</file>

<file path=xl/drawings/_rels/drawing42.xml.rels><?xml version="1.0" encoding="UTF-8" standalone="yes"?><Relationships xmlns="http://schemas.openxmlformats.org/package/2006/relationships"><Relationship Id="rId1" Type="http://schemas.openxmlformats.org/officeDocument/2006/relationships/chart" Target="../charts/chart59.xml" /></Relationships>
</file>

<file path=xl/drawings/_rels/drawing43.xml.rels><?xml version="1.0" encoding="UTF-8" standalone="yes"?><Relationships xmlns="http://schemas.openxmlformats.org/package/2006/relationships"><Relationship Id="rId1" Type="http://schemas.openxmlformats.org/officeDocument/2006/relationships/chart" Target="../charts/chart60.xml" /></Relationships>
</file>

<file path=xl/drawings/_rels/drawing44.xml.rels><?xml version="1.0" encoding="UTF-8" standalone="yes"?><Relationships xmlns="http://schemas.openxmlformats.org/package/2006/relationships"><Relationship Id="rId1" Type="http://schemas.openxmlformats.org/officeDocument/2006/relationships/chart" Target="../charts/chart61.xml" /></Relationships>
</file>

<file path=xl/drawings/_rels/drawing45.xml.rels><?xml version="1.0" encoding="UTF-8" standalone="yes"?><Relationships xmlns="http://schemas.openxmlformats.org/package/2006/relationships"><Relationship Id="rId1" Type="http://schemas.openxmlformats.org/officeDocument/2006/relationships/chart" Target="../charts/chart62.xml" /><Relationship Id="rId2" Type="http://schemas.openxmlformats.org/officeDocument/2006/relationships/chart" Target="../charts/chart63.xml" /></Relationships>
</file>

<file path=xl/drawings/_rels/drawing46.xml.rels><?xml version="1.0" encoding="UTF-8" standalone="yes"?><Relationships xmlns="http://schemas.openxmlformats.org/package/2006/relationships"><Relationship Id="rId1" Type="http://schemas.openxmlformats.org/officeDocument/2006/relationships/chart" Target="../charts/chart64.xml" /><Relationship Id="rId2" Type="http://schemas.openxmlformats.org/officeDocument/2006/relationships/chart" Target="../charts/chart65.xml" /></Relationships>
</file>

<file path=xl/drawings/_rels/drawing47.xml.rels><?xml version="1.0" encoding="UTF-8" standalone="yes"?><Relationships xmlns="http://schemas.openxmlformats.org/package/2006/relationships"><Relationship Id="rId1" Type="http://schemas.openxmlformats.org/officeDocument/2006/relationships/chart" Target="../charts/chart66.xml" /></Relationships>
</file>

<file path=xl/drawings/_rels/drawing48.xml.rels><?xml version="1.0" encoding="UTF-8" standalone="yes"?><Relationships xmlns="http://schemas.openxmlformats.org/package/2006/relationships"><Relationship Id="rId1" Type="http://schemas.openxmlformats.org/officeDocument/2006/relationships/chart" Target="../charts/chart67.xml" /></Relationships>
</file>

<file path=xl/drawings/_rels/drawing49.xml.rels><?xml version="1.0" encoding="UTF-8" standalone="yes"?><Relationships xmlns="http://schemas.openxmlformats.org/package/2006/relationships"><Relationship Id="rId1" Type="http://schemas.openxmlformats.org/officeDocument/2006/relationships/chart" Target="../charts/chart68.xml" /></Relationships>
</file>

<file path=xl/drawings/_rels/drawing50.xml.rels><?xml version="1.0" encoding="UTF-8" standalone="yes"?><Relationships xmlns="http://schemas.openxmlformats.org/package/2006/relationships"><Relationship Id="rId1" Type="http://schemas.openxmlformats.org/officeDocument/2006/relationships/chart" Target="../charts/chart69.xml" /><Relationship Id="rId2" Type="http://schemas.openxmlformats.org/officeDocument/2006/relationships/chart" Target="../charts/chart70.xml" /></Relationships>
</file>

<file path=xl/drawings/_rels/drawing51.xml.rels><?xml version="1.0" encoding="UTF-8" standalone="yes"?><Relationships xmlns="http://schemas.openxmlformats.org/package/2006/relationships"><Relationship Id="rId1" Type="http://schemas.openxmlformats.org/officeDocument/2006/relationships/chart" Target="../charts/chart71.xml" /><Relationship Id="rId2" Type="http://schemas.openxmlformats.org/officeDocument/2006/relationships/chart" Target="../charts/chart72.xml" /></Relationships>
</file>

<file path=xl/drawings/_rels/drawing52.xml.rels><?xml version="1.0" encoding="UTF-8" standalone="yes"?><Relationships xmlns="http://schemas.openxmlformats.org/package/2006/relationships"><Relationship Id="rId1" Type="http://schemas.openxmlformats.org/officeDocument/2006/relationships/chart" Target="../charts/chart73.xml" /></Relationships>
</file>

<file path=xl/drawings/_rels/drawing53.xml.rels><?xml version="1.0" encoding="UTF-8" standalone="yes"?><Relationships xmlns="http://schemas.openxmlformats.org/package/2006/relationships"><Relationship Id="rId1" Type="http://schemas.openxmlformats.org/officeDocument/2006/relationships/chart" Target="../charts/chart74.xml" /><Relationship Id="rId2" Type="http://schemas.openxmlformats.org/officeDocument/2006/relationships/chart" Target="../charts/chart75.xml" /><Relationship Id="rId3" Type="http://schemas.openxmlformats.org/officeDocument/2006/relationships/chart" Target="../charts/chart76.xml" /><Relationship Id="rId4" Type="http://schemas.openxmlformats.org/officeDocument/2006/relationships/chart" Target="../charts/chart77.xml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11</xdr:col>
      <xdr:colOff>228600</xdr:colOff>
      <xdr:row>15</xdr:row>
      <xdr:rowOff>61594</xdr:rowOff>
    </xdr:from>
    <xdr:to>
      <xdr:col>18</xdr:col>
      <xdr:colOff>533400</xdr:colOff>
      <xdr:row>29</xdr:row>
      <xdr:rowOff>137795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123824</xdr:colOff>
      <xdr:row>3</xdr:row>
      <xdr:rowOff>52069</xdr:rowOff>
    </xdr:from>
    <xdr:to>
      <xdr:col>12</xdr:col>
      <xdr:colOff>428625</xdr:colOff>
      <xdr:row>17</xdr:row>
      <xdr:rowOff>128270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18</xdr:col>
      <xdr:colOff>314324</xdr:colOff>
      <xdr:row>3</xdr:row>
      <xdr:rowOff>104775</xdr:rowOff>
    </xdr:from>
    <xdr:to>
      <xdr:col>24</xdr:col>
      <xdr:colOff>314324</xdr:colOff>
      <xdr:row>13</xdr:row>
      <xdr:rowOff>104775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361950</xdr:colOff>
      <xdr:row>4</xdr:row>
      <xdr:rowOff>85725</xdr:rowOff>
    </xdr:from>
    <xdr:to>
      <xdr:col>11</xdr:col>
      <xdr:colOff>361950</xdr:colOff>
      <xdr:row>14</xdr:row>
      <xdr:rowOff>85725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9</xdr:col>
      <xdr:colOff>155575</xdr:colOff>
      <xdr:row>4</xdr:row>
      <xdr:rowOff>92075</xdr:rowOff>
    </xdr:from>
    <xdr:to>
      <xdr:col>16</xdr:col>
      <xdr:colOff>460375</xdr:colOff>
      <xdr:row>19</xdr:row>
      <xdr:rowOff>66675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180975</xdr:colOff>
      <xdr:row>2</xdr:row>
      <xdr:rowOff>90170</xdr:rowOff>
    </xdr:from>
    <xdr:to>
      <xdr:col>14</xdr:col>
      <xdr:colOff>485775</xdr:colOff>
      <xdr:row>16</xdr:row>
      <xdr:rowOff>166370</xdr:rowOff>
    </xdr:to>
    <xdr:graphicFrame>
      <xdr:nvGraphicFramePr>
        <xdr:cNvPr id="3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7</xdr:col>
      <xdr:colOff>161924</xdr:colOff>
      <xdr:row>17</xdr:row>
      <xdr:rowOff>139700</xdr:rowOff>
    </xdr:from>
    <xdr:to>
      <xdr:col>14</xdr:col>
      <xdr:colOff>466725</xdr:colOff>
      <xdr:row>32</xdr:row>
      <xdr:rowOff>120650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276224</xdr:colOff>
      <xdr:row>3</xdr:row>
      <xdr:rowOff>13970</xdr:rowOff>
    </xdr:from>
    <xdr:to>
      <xdr:col>14</xdr:col>
      <xdr:colOff>581025</xdr:colOff>
      <xdr:row>17</xdr:row>
      <xdr:rowOff>90170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228600</xdr:colOff>
      <xdr:row>2</xdr:row>
      <xdr:rowOff>80644</xdr:rowOff>
    </xdr:from>
    <xdr:to>
      <xdr:col>12</xdr:col>
      <xdr:colOff>533400</xdr:colOff>
      <xdr:row>16</xdr:row>
      <xdr:rowOff>156845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15</xdr:col>
      <xdr:colOff>295274</xdr:colOff>
      <xdr:row>4</xdr:row>
      <xdr:rowOff>57150</xdr:rowOff>
    </xdr:from>
    <xdr:to>
      <xdr:col>21</xdr:col>
      <xdr:colOff>295274</xdr:colOff>
      <xdr:row>14</xdr:row>
      <xdr:rowOff>57150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5</xdr:col>
      <xdr:colOff>323849</xdr:colOff>
      <xdr:row>4</xdr:row>
      <xdr:rowOff>28575</xdr:rowOff>
    </xdr:from>
    <xdr:to>
      <xdr:col>11</xdr:col>
      <xdr:colOff>323849</xdr:colOff>
      <xdr:row>14</xdr:row>
      <xdr:rowOff>28575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457200</xdr:colOff>
      <xdr:row>5</xdr:row>
      <xdr:rowOff>4445</xdr:rowOff>
    </xdr:from>
    <xdr:to>
      <xdr:col>14</xdr:col>
      <xdr:colOff>152400</xdr:colOff>
      <xdr:row>19</xdr:row>
      <xdr:rowOff>61594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11</xdr:col>
      <xdr:colOff>495299</xdr:colOff>
      <xdr:row>2</xdr:row>
      <xdr:rowOff>175895</xdr:rowOff>
    </xdr:from>
    <xdr:to>
      <xdr:col>19</xdr:col>
      <xdr:colOff>190500</xdr:colOff>
      <xdr:row>17</xdr:row>
      <xdr:rowOff>61594</xdr:rowOff>
    </xdr:to>
    <xdr:graphicFrame>
      <xdr:nvGraphicFramePr>
        <xdr:cNvPr id="3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27</xdr:col>
      <xdr:colOff>28575</xdr:colOff>
      <xdr:row>1</xdr:row>
      <xdr:rowOff>118745</xdr:rowOff>
    </xdr:from>
    <xdr:to>
      <xdr:col>34</xdr:col>
      <xdr:colOff>333375</xdr:colOff>
      <xdr:row>16</xdr:row>
      <xdr:rowOff>4445</xdr:rowOff>
    </xdr:to>
    <xdr:graphicFrame>
      <xdr:nvGraphicFramePr>
        <xdr:cNvPr id="2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9</xdr:col>
      <xdr:colOff>187325</xdr:colOff>
      <xdr:row>6</xdr:row>
      <xdr:rowOff>73025</xdr:rowOff>
    </xdr:from>
    <xdr:to>
      <xdr:col>16</xdr:col>
      <xdr:colOff>492125</xdr:colOff>
      <xdr:row>21</xdr:row>
      <xdr:rowOff>47625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209550</xdr:colOff>
      <xdr:row>3</xdr:row>
      <xdr:rowOff>185419</xdr:rowOff>
    </xdr:from>
    <xdr:to>
      <xdr:col>14</xdr:col>
      <xdr:colOff>514350</xdr:colOff>
      <xdr:row>18</xdr:row>
      <xdr:rowOff>71120</xdr:rowOff>
    </xdr:to>
    <xdr:graphicFrame>
      <xdr:nvGraphicFramePr>
        <xdr:cNvPr id="3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19</xdr:col>
      <xdr:colOff>257175</xdr:colOff>
      <xdr:row>4</xdr:row>
      <xdr:rowOff>4445</xdr:rowOff>
    </xdr:from>
    <xdr:to>
      <xdr:col>26</xdr:col>
      <xdr:colOff>561975</xdr:colOff>
      <xdr:row>18</xdr:row>
      <xdr:rowOff>80644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114300</xdr:colOff>
      <xdr:row>3</xdr:row>
      <xdr:rowOff>61594</xdr:rowOff>
    </xdr:from>
    <xdr:to>
      <xdr:col>14</xdr:col>
      <xdr:colOff>419100</xdr:colOff>
      <xdr:row>17</xdr:row>
      <xdr:rowOff>137795</xdr:rowOff>
    </xdr:to>
    <xdr:graphicFrame>
      <xdr:nvGraphicFramePr>
        <xdr:cNvPr id="3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19</xdr:col>
      <xdr:colOff>238125</xdr:colOff>
      <xdr:row>3</xdr:row>
      <xdr:rowOff>147320</xdr:rowOff>
    </xdr:from>
    <xdr:to>
      <xdr:col>26</xdr:col>
      <xdr:colOff>542925</xdr:colOff>
      <xdr:row>18</xdr:row>
      <xdr:rowOff>33020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8</xdr:col>
      <xdr:colOff>371475</xdr:colOff>
      <xdr:row>2</xdr:row>
      <xdr:rowOff>185419</xdr:rowOff>
    </xdr:from>
    <xdr:to>
      <xdr:col>16</xdr:col>
      <xdr:colOff>66675</xdr:colOff>
      <xdr:row>17</xdr:row>
      <xdr:rowOff>61594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11</xdr:col>
      <xdr:colOff>200025</xdr:colOff>
      <xdr:row>4</xdr:row>
      <xdr:rowOff>85725</xdr:rowOff>
    </xdr:from>
    <xdr:to>
      <xdr:col>18</xdr:col>
      <xdr:colOff>504825</xdr:colOff>
      <xdr:row>19</xdr:row>
      <xdr:rowOff>60325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9</xdr:col>
      <xdr:colOff>200025</xdr:colOff>
      <xdr:row>3</xdr:row>
      <xdr:rowOff>52069</xdr:rowOff>
    </xdr:from>
    <xdr:to>
      <xdr:col>16</xdr:col>
      <xdr:colOff>504825</xdr:colOff>
      <xdr:row>17</xdr:row>
      <xdr:rowOff>128270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14</xdr:col>
      <xdr:colOff>304800</xdr:colOff>
      <xdr:row>4</xdr:row>
      <xdr:rowOff>4445</xdr:rowOff>
    </xdr:from>
    <xdr:to>
      <xdr:col>22</xdr:col>
      <xdr:colOff>0</xdr:colOff>
      <xdr:row>18</xdr:row>
      <xdr:rowOff>80644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10</xdr:col>
      <xdr:colOff>238125</xdr:colOff>
      <xdr:row>3</xdr:row>
      <xdr:rowOff>109220</xdr:rowOff>
    </xdr:from>
    <xdr:to>
      <xdr:col>17</xdr:col>
      <xdr:colOff>542925</xdr:colOff>
      <xdr:row>17</xdr:row>
      <xdr:rowOff>185419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10</xdr:col>
      <xdr:colOff>377825</xdr:colOff>
      <xdr:row>3</xdr:row>
      <xdr:rowOff>60325</xdr:rowOff>
    </xdr:from>
    <xdr:to>
      <xdr:col>18</xdr:col>
      <xdr:colOff>73025</xdr:colOff>
      <xdr:row>18</xdr:row>
      <xdr:rowOff>41275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10</xdr:col>
      <xdr:colOff>438150</xdr:colOff>
      <xdr:row>2</xdr:row>
      <xdr:rowOff>33020</xdr:rowOff>
    </xdr:from>
    <xdr:to>
      <xdr:col>18</xdr:col>
      <xdr:colOff>133350</xdr:colOff>
      <xdr:row>16</xdr:row>
      <xdr:rowOff>99695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10</xdr:col>
      <xdr:colOff>200025</xdr:colOff>
      <xdr:row>3</xdr:row>
      <xdr:rowOff>185419</xdr:rowOff>
    </xdr:from>
    <xdr:to>
      <xdr:col>17</xdr:col>
      <xdr:colOff>504825</xdr:colOff>
      <xdr:row>18</xdr:row>
      <xdr:rowOff>71120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13</xdr:col>
      <xdr:colOff>187325</xdr:colOff>
      <xdr:row>3</xdr:row>
      <xdr:rowOff>180975</xdr:rowOff>
    </xdr:from>
    <xdr:to>
      <xdr:col>20</xdr:col>
      <xdr:colOff>492125</xdr:colOff>
      <xdr:row>18</xdr:row>
      <xdr:rowOff>149225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2</xdr:col>
      <xdr:colOff>190500</xdr:colOff>
      <xdr:row>4</xdr:row>
      <xdr:rowOff>118745</xdr:rowOff>
    </xdr:from>
    <xdr:to>
      <xdr:col>9</xdr:col>
      <xdr:colOff>495299</xdr:colOff>
      <xdr:row>19</xdr:row>
      <xdr:rowOff>4445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14</xdr:col>
      <xdr:colOff>419100</xdr:colOff>
      <xdr:row>5</xdr:row>
      <xdr:rowOff>33020</xdr:rowOff>
    </xdr:from>
    <xdr:to>
      <xdr:col>22</xdr:col>
      <xdr:colOff>114300</xdr:colOff>
      <xdr:row>19</xdr:row>
      <xdr:rowOff>109220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5</xdr:col>
      <xdr:colOff>316865</xdr:colOff>
      <xdr:row>1</xdr:row>
      <xdr:rowOff>164465</xdr:rowOff>
    </xdr:from>
    <xdr:to>
      <xdr:col>13</xdr:col>
      <xdr:colOff>46990</xdr:colOff>
      <xdr:row>16</xdr:row>
      <xdr:rowOff>80010</xdr:rowOff>
    </xdr:to>
    <xdr:graphicFrame>
      <xdr:nvGraphicFramePr>
        <xdr:cNvPr id="2" name="Chart 5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0</xdr:col>
      <xdr:colOff>85725</xdr:colOff>
      <xdr:row>26</xdr:row>
      <xdr:rowOff>13970</xdr:rowOff>
    </xdr:from>
    <xdr:to>
      <xdr:col>7</xdr:col>
      <xdr:colOff>552449</xdr:colOff>
      <xdr:row>40</xdr:row>
      <xdr:rowOff>90170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447675</xdr:colOff>
      <xdr:row>1</xdr:row>
      <xdr:rowOff>4445</xdr:rowOff>
    </xdr:from>
    <xdr:to>
      <xdr:col>14</xdr:col>
      <xdr:colOff>142875</xdr:colOff>
      <xdr:row>15</xdr:row>
      <xdr:rowOff>61594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6</xdr:col>
      <xdr:colOff>466725</xdr:colOff>
      <xdr:row>16</xdr:row>
      <xdr:rowOff>23495</xdr:rowOff>
    </xdr:from>
    <xdr:to>
      <xdr:col>14</xdr:col>
      <xdr:colOff>161924</xdr:colOff>
      <xdr:row>30</xdr:row>
      <xdr:rowOff>99695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447675</xdr:colOff>
      <xdr:row>2</xdr:row>
      <xdr:rowOff>80644</xdr:rowOff>
    </xdr:from>
    <xdr:to>
      <xdr:col>14</xdr:col>
      <xdr:colOff>142875</xdr:colOff>
      <xdr:row>16</xdr:row>
      <xdr:rowOff>156845</xdr:rowOff>
    </xdr:to>
    <xdr:graphicFrame>
      <xdr:nvGraphicFramePr>
        <xdr:cNvPr id="4" name="Chart 4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14</xdr:col>
      <xdr:colOff>171450</xdr:colOff>
      <xdr:row>2</xdr:row>
      <xdr:rowOff>80644</xdr:rowOff>
    </xdr:from>
    <xdr:to>
      <xdr:col>21</xdr:col>
      <xdr:colOff>476250</xdr:colOff>
      <xdr:row>16</xdr:row>
      <xdr:rowOff>156845</xdr:rowOff>
    </xdr:to>
    <xdr:graphicFrame>
      <xdr:nvGraphicFramePr>
        <xdr:cNvPr id="3" name="Chart 5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twoCell">
    <xdr:from>
      <xdr:col>6</xdr:col>
      <xdr:colOff>476250</xdr:colOff>
      <xdr:row>18</xdr:row>
      <xdr:rowOff>19050</xdr:rowOff>
    </xdr:from>
    <xdr:to>
      <xdr:col>14</xdr:col>
      <xdr:colOff>171450</xdr:colOff>
      <xdr:row>32</xdr:row>
      <xdr:rowOff>95250</xdr:rowOff>
    </xdr:to>
    <xdr:graphicFrame>
      <xdr:nvGraphicFramePr>
        <xdr:cNvPr id="2" name="Chart 7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114300</xdr:colOff>
      <xdr:row>1</xdr:row>
      <xdr:rowOff>128270</xdr:rowOff>
    </xdr:from>
    <xdr:to>
      <xdr:col>13</xdr:col>
      <xdr:colOff>419100</xdr:colOff>
      <xdr:row>16</xdr:row>
      <xdr:rowOff>13970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13</xdr:col>
      <xdr:colOff>447675</xdr:colOff>
      <xdr:row>1</xdr:row>
      <xdr:rowOff>128270</xdr:rowOff>
    </xdr:from>
    <xdr:to>
      <xdr:col>21</xdr:col>
      <xdr:colOff>142875</xdr:colOff>
      <xdr:row>16</xdr:row>
      <xdr:rowOff>13970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142875</xdr:colOff>
      <xdr:row>1</xdr:row>
      <xdr:rowOff>137795</xdr:rowOff>
    </xdr:from>
    <xdr:to>
      <xdr:col>13</xdr:col>
      <xdr:colOff>447675</xdr:colOff>
      <xdr:row>16</xdr:row>
      <xdr:rowOff>23495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14</xdr:col>
      <xdr:colOff>409575</xdr:colOff>
      <xdr:row>2</xdr:row>
      <xdr:rowOff>99695</xdr:rowOff>
    </xdr:from>
    <xdr:to>
      <xdr:col>22</xdr:col>
      <xdr:colOff>104775</xdr:colOff>
      <xdr:row>16</xdr:row>
      <xdr:rowOff>175895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95250</xdr:colOff>
      <xdr:row>1</xdr:row>
      <xdr:rowOff>109220</xdr:rowOff>
    </xdr:from>
    <xdr:to>
      <xdr:col>13</xdr:col>
      <xdr:colOff>400050</xdr:colOff>
      <xdr:row>15</xdr:row>
      <xdr:rowOff>185419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13</xdr:col>
      <xdr:colOff>542925</xdr:colOff>
      <xdr:row>1</xdr:row>
      <xdr:rowOff>99695</xdr:rowOff>
    </xdr:from>
    <xdr:to>
      <xdr:col>21</xdr:col>
      <xdr:colOff>238125</xdr:colOff>
      <xdr:row>15</xdr:row>
      <xdr:rowOff>175895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171450</xdr:colOff>
      <xdr:row>1</xdr:row>
      <xdr:rowOff>109220</xdr:rowOff>
    </xdr:from>
    <xdr:to>
      <xdr:col>13</xdr:col>
      <xdr:colOff>476250</xdr:colOff>
      <xdr:row>15</xdr:row>
      <xdr:rowOff>185419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14</xdr:col>
      <xdr:colOff>152400</xdr:colOff>
      <xdr:row>1</xdr:row>
      <xdr:rowOff>99695</xdr:rowOff>
    </xdr:from>
    <xdr:to>
      <xdr:col>21</xdr:col>
      <xdr:colOff>457200</xdr:colOff>
      <xdr:row>15</xdr:row>
      <xdr:rowOff>175895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4</xdr:col>
      <xdr:colOff>523875</xdr:colOff>
      <xdr:row>20</xdr:row>
      <xdr:rowOff>114300</xdr:rowOff>
    </xdr:from>
    <xdr:to>
      <xdr:col>12</xdr:col>
      <xdr:colOff>219075</xdr:colOff>
      <xdr:row>35</xdr:row>
      <xdr:rowOff>0</xdr:rowOff>
    </xdr:to>
    <xdr:graphicFrame>
      <xdr:nvGraphicFramePr>
        <xdr:cNvPr id="2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</xdr:col>
      <xdr:colOff>161924</xdr:colOff>
      <xdr:row>3</xdr:row>
      <xdr:rowOff>80644</xdr:rowOff>
    </xdr:from>
    <xdr:to>
      <xdr:col>8</xdr:col>
      <xdr:colOff>466725</xdr:colOff>
      <xdr:row>17</xdr:row>
      <xdr:rowOff>156845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19</xdr:col>
      <xdr:colOff>180975</xdr:colOff>
      <xdr:row>2</xdr:row>
      <xdr:rowOff>147320</xdr:rowOff>
    </xdr:from>
    <xdr:to>
      <xdr:col>26</xdr:col>
      <xdr:colOff>485775</xdr:colOff>
      <xdr:row>17</xdr:row>
      <xdr:rowOff>33020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390525</xdr:colOff>
      <xdr:row>2</xdr:row>
      <xdr:rowOff>52069</xdr:rowOff>
    </xdr:from>
    <xdr:to>
      <xdr:col>15</xdr:col>
      <xdr:colOff>85725</xdr:colOff>
      <xdr:row>16</xdr:row>
      <xdr:rowOff>128270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15</xdr:col>
      <xdr:colOff>171450</xdr:colOff>
      <xdr:row>2</xdr:row>
      <xdr:rowOff>61594</xdr:rowOff>
    </xdr:from>
    <xdr:to>
      <xdr:col>22</xdr:col>
      <xdr:colOff>476250</xdr:colOff>
      <xdr:row>16</xdr:row>
      <xdr:rowOff>137795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152400</xdr:colOff>
      <xdr:row>5</xdr:row>
      <xdr:rowOff>52069</xdr:rowOff>
    </xdr:from>
    <xdr:to>
      <xdr:col>14</xdr:col>
      <xdr:colOff>457200</xdr:colOff>
      <xdr:row>19</xdr:row>
      <xdr:rowOff>128270</xdr:rowOff>
    </xdr:to>
    <xdr:graphicFrame>
      <xdr:nvGraphicFramePr>
        <xdr:cNvPr id="2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15</xdr:col>
      <xdr:colOff>200025</xdr:colOff>
      <xdr:row>1</xdr:row>
      <xdr:rowOff>114300</xdr:rowOff>
    </xdr:from>
    <xdr:to>
      <xdr:col>22</xdr:col>
      <xdr:colOff>504825</xdr:colOff>
      <xdr:row>16</xdr:row>
      <xdr:rowOff>0</xdr:rowOff>
    </xdr:to>
    <xdr:graphicFrame>
      <xdr:nvGraphicFramePr>
        <xdr:cNvPr id="2" name="Chart 4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428625</xdr:colOff>
      <xdr:row>2</xdr:row>
      <xdr:rowOff>71120</xdr:rowOff>
    </xdr:from>
    <xdr:to>
      <xdr:col>15</xdr:col>
      <xdr:colOff>123824</xdr:colOff>
      <xdr:row>16</xdr:row>
      <xdr:rowOff>147320</xdr:rowOff>
    </xdr:to>
    <xdr:graphicFrame>
      <xdr:nvGraphicFramePr>
        <xdr:cNvPr id="4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15</xdr:col>
      <xdr:colOff>171450</xdr:colOff>
      <xdr:row>2</xdr:row>
      <xdr:rowOff>61594</xdr:rowOff>
    </xdr:from>
    <xdr:to>
      <xdr:col>22</xdr:col>
      <xdr:colOff>476250</xdr:colOff>
      <xdr:row>16</xdr:row>
      <xdr:rowOff>137795</xdr:rowOff>
    </xdr:to>
    <xdr:graphicFrame>
      <xdr:nvGraphicFramePr>
        <xdr:cNvPr id="3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twoCell">
    <xdr:from>
      <xdr:col>27</xdr:col>
      <xdr:colOff>485775</xdr:colOff>
      <xdr:row>2</xdr:row>
      <xdr:rowOff>13970</xdr:rowOff>
    </xdr:from>
    <xdr:to>
      <xdr:col>35</xdr:col>
      <xdr:colOff>180975</xdr:colOff>
      <xdr:row>16</xdr:row>
      <xdr:rowOff>90170</xdr:rowOff>
    </xdr:to>
    <xdr:graphicFrame>
      <xdr:nvGraphicFramePr>
        <xdr:cNvPr id="2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504825</xdr:colOff>
      <xdr:row>3</xdr:row>
      <xdr:rowOff>175895</xdr:rowOff>
    </xdr:from>
    <xdr:to>
      <xdr:col>15</xdr:col>
      <xdr:colOff>200025</xdr:colOff>
      <xdr:row>18</xdr:row>
      <xdr:rowOff>61594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14</xdr:col>
      <xdr:colOff>200025</xdr:colOff>
      <xdr:row>1</xdr:row>
      <xdr:rowOff>137795</xdr:rowOff>
    </xdr:from>
    <xdr:to>
      <xdr:col>22</xdr:col>
      <xdr:colOff>161924</xdr:colOff>
      <xdr:row>16</xdr:row>
      <xdr:rowOff>23495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4</xdr:col>
      <xdr:colOff>152400</xdr:colOff>
      <xdr:row>2</xdr:row>
      <xdr:rowOff>42545</xdr:rowOff>
    </xdr:from>
    <xdr:to>
      <xdr:col>11</xdr:col>
      <xdr:colOff>457200</xdr:colOff>
      <xdr:row>16</xdr:row>
      <xdr:rowOff>118745</xdr:rowOff>
    </xdr:to>
    <xdr:graphicFrame>
      <xdr:nvGraphicFramePr>
        <xdr:cNvPr id="2" name="Chart 5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190500</xdr:colOff>
      <xdr:row>3</xdr:row>
      <xdr:rowOff>109220</xdr:rowOff>
    </xdr:from>
    <xdr:to>
      <xdr:col>14</xdr:col>
      <xdr:colOff>495299</xdr:colOff>
      <xdr:row>17</xdr:row>
      <xdr:rowOff>185419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7</xdr:col>
      <xdr:colOff>200025</xdr:colOff>
      <xdr:row>3</xdr:row>
      <xdr:rowOff>137795</xdr:rowOff>
    </xdr:from>
    <xdr:to>
      <xdr:col>14</xdr:col>
      <xdr:colOff>504825</xdr:colOff>
      <xdr:row>18</xdr:row>
      <xdr:rowOff>23495</xdr:rowOff>
    </xdr:to>
    <xdr:graphicFrame>
      <xdr:nvGraphicFramePr>
        <xdr:cNvPr id="2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12</xdr:col>
      <xdr:colOff>257175</xdr:colOff>
      <xdr:row>2</xdr:row>
      <xdr:rowOff>147320</xdr:rowOff>
    </xdr:from>
    <xdr:to>
      <xdr:col>19</xdr:col>
      <xdr:colOff>561975</xdr:colOff>
      <xdr:row>17</xdr:row>
      <xdr:rowOff>33020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3</xdr:col>
      <xdr:colOff>133350</xdr:colOff>
      <xdr:row>6</xdr:row>
      <xdr:rowOff>38100</xdr:rowOff>
    </xdr:from>
    <xdr:to>
      <xdr:col>10</xdr:col>
      <xdr:colOff>438150</xdr:colOff>
      <xdr:row>20</xdr:row>
      <xdr:rowOff>114300</xdr:rowOff>
    </xdr:to>
    <xdr:graphicFrame>
      <xdr:nvGraphicFramePr>
        <xdr:cNvPr id="3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17</xdr:col>
      <xdr:colOff>161924</xdr:colOff>
      <xdr:row>4</xdr:row>
      <xdr:rowOff>99695</xdr:rowOff>
    </xdr:from>
    <xdr:to>
      <xdr:col>24</xdr:col>
      <xdr:colOff>466725</xdr:colOff>
      <xdr:row>18</xdr:row>
      <xdr:rowOff>175895</xdr:rowOff>
    </xdr:to>
    <xdr:graphicFrame>
      <xdr:nvGraphicFramePr>
        <xdr:cNvPr id="2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17</xdr:col>
      <xdr:colOff>161924</xdr:colOff>
      <xdr:row>4</xdr:row>
      <xdr:rowOff>99695</xdr:rowOff>
    </xdr:from>
    <xdr:to>
      <xdr:col>24</xdr:col>
      <xdr:colOff>466725</xdr:colOff>
      <xdr:row>18</xdr:row>
      <xdr:rowOff>175895</xdr:rowOff>
    </xdr:to>
    <xdr:graphicFrame>
      <xdr:nvGraphicFramePr>
        <xdr:cNvPr id="3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3</xdr:col>
      <xdr:colOff>133350</xdr:colOff>
      <xdr:row>6</xdr:row>
      <xdr:rowOff>19050</xdr:rowOff>
    </xdr:from>
    <xdr:to>
      <xdr:col>10</xdr:col>
      <xdr:colOff>438150</xdr:colOff>
      <xdr:row>20</xdr:row>
      <xdr:rowOff>95250</xdr:rowOff>
    </xdr:to>
    <xdr:graphicFrame>
      <xdr:nvGraphicFramePr>
        <xdr:cNvPr id="2" name="Chart 4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31</xdr:col>
      <xdr:colOff>200025</xdr:colOff>
      <xdr:row>4</xdr:row>
      <xdr:rowOff>118745</xdr:rowOff>
    </xdr:from>
    <xdr:to>
      <xdr:col>38</xdr:col>
      <xdr:colOff>504825</xdr:colOff>
      <xdr:row>18</xdr:row>
      <xdr:rowOff>156845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16</xdr:col>
      <xdr:colOff>409575</xdr:colOff>
      <xdr:row>12</xdr:row>
      <xdr:rowOff>118745</xdr:rowOff>
    </xdr:from>
    <xdr:to>
      <xdr:col>22</xdr:col>
      <xdr:colOff>38100</xdr:colOff>
      <xdr:row>27</xdr:row>
      <xdr:rowOff>4445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8</xdr:col>
      <xdr:colOff>190500</xdr:colOff>
      <xdr:row>0</xdr:row>
      <xdr:rowOff>180975</xdr:rowOff>
    </xdr:from>
    <xdr:to>
      <xdr:col>15</xdr:col>
      <xdr:colOff>495299</xdr:colOff>
      <xdr:row>15</xdr:row>
      <xdr:rowOff>66675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3</xdr:col>
      <xdr:colOff>342900</xdr:colOff>
      <xdr:row>21</xdr:row>
      <xdr:rowOff>13970</xdr:rowOff>
    </xdr:from>
    <xdr:to>
      <xdr:col>11</xdr:col>
      <xdr:colOff>38100</xdr:colOff>
      <xdr:row>35</xdr:row>
      <xdr:rowOff>90170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3</xdr:col>
      <xdr:colOff>333375</xdr:colOff>
      <xdr:row>6</xdr:row>
      <xdr:rowOff>90170</xdr:rowOff>
    </xdr:from>
    <xdr:to>
      <xdr:col>11</xdr:col>
      <xdr:colOff>28575</xdr:colOff>
      <xdr:row>20</xdr:row>
      <xdr:rowOff>166370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2</xdr:col>
      <xdr:colOff>304800</xdr:colOff>
      <xdr:row>20</xdr:row>
      <xdr:rowOff>33020</xdr:rowOff>
    </xdr:from>
    <xdr:to>
      <xdr:col>10</xdr:col>
      <xdr:colOff>0</xdr:colOff>
      <xdr:row>34</xdr:row>
      <xdr:rowOff>109220</xdr:rowOff>
    </xdr:to>
    <xdr:graphicFrame>
      <xdr:nvGraphicFramePr>
        <xdr:cNvPr id="3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2</xdr:col>
      <xdr:colOff>266700</xdr:colOff>
      <xdr:row>5</xdr:row>
      <xdr:rowOff>80644</xdr:rowOff>
    </xdr:from>
    <xdr:to>
      <xdr:col>9</xdr:col>
      <xdr:colOff>571500</xdr:colOff>
      <xdr:row>19</xdr:row>
      <xdr:rowOff>156845</xdr:rowOff>
    </xdr:to>
    <xdr:graphicFrame>
      <xdr:nvGraphicFramePr>
        <xdr:cNvPr id="2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3</xdr:col>
      <xdr:colOff>600075</xdr:colOff>
      <xdr:row>14</xdr:row>
      <xdr:rowOff>57150</xdr:rowOff>
    </xdr:from>
    <xdr:to>
      <xdr:col>11</xdr:col>
      <xdr:colOff>352424</xdr:colOff>
      <xdr:row>28</xdr:row>
      <xdr:rowOff>133350</xdr:rowOff>
    </xdr:to>
    <xdr:graphicFrame>
      <xdr:nvGraphicFramePr>
        <xdr:cNvPr id="2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3</xdr:col>
      <xdr:colOff>381000</xdr:colOff>
      <xdr:row>19</xdr:row>
      <xdr:rowOff>90170</xdr:rowOff>
    </xdr:from>
    <xdr:to>
      <xdr:col>11</xdr:col>
      <xdr:colOff>123824</xdr:colOff>
      <xdr:row>33</xdr:row>
      <xdr:rowOff>166370</xdr:rowOff>
    </xdr:to>
    <xdr:graphicFrame>
      <xdr:nvGraphicFramePr>
        <xdr:cNvPr id="5" name="Chart 1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twoCell">
    <xdr:from>
      <xdr:col>11</xdr:col>
      <xdr:colOff>419100</xdr:colOff>
      <xdr:row>19</xdr:row>
      <xdr:rowOff>90170</xdr:rowOff>
    </xdr:from>
    <xdr:to>
      <xdr:col>19</xdr:col>
      <xdr:colOff>114300</xdr:colOff>
      <xdr:row>33</xdr:row>
      <xdr:rowOff>166370</xdr:rowOff>
    </xdr:to>
    <xdr:graphicFrame>
      <xdr:nvGraphicFramePr>
        <xdr:cNvPr id="4" name="Chart 2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twoCell">
    <xdr:from>
      <xdr:col>9</xdr:col>
      <xdr:colOff>247649</xdr:colOff>
      <xdr:row>1</xdr:row>
      <xdr:rowOff>52069</xdr:rowOff>
    </xdr:from>
    <xdr:to>
      <xdr:col>16</xdr:col>
      <xdr:colOff>552449</xdr:colOff>
      <xdr:row>15</xdr:row>
      <xdr:rowOff>128270</xdr:rowOff>
    </xdr:to>
    <xdr:graphicFrame>
      <xdr:nvGraphicFramePr>
        <xdr:cNvPr id="3" name="Chart 3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twoCell">
    <xdr:from>
      <xdr:col>11</xdr:col>
      <xdr:colOff>428625</xdr:colOff>
      <xdr:row>34</xdr:row>
      <xdr:rowOff>137795</xdr:rowOff>
    </xdr:from>
    <xdr:to>
      <xdr:col>19</xdr:col>
      <xdr:colOff>123824</xdr:colOff>
      <xdr:row>49</xdr:row>
      <xdr:rowOff>23495</xdr:rowOff>
    </xdr:to>
    <xdr:graphicFrame>
      <xdr:nvGraphicFramePr>
        <xdr:cNvPr id="2" name="Chart 4"/>
        <xdr:cNvGraphicFramePr>
          <a:graphicFrameLocks xmlns:a="http://schemas.openxmlformats.org/drawingml/2006/main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>
    <a:spDef>
      <a:spPr bwMode="auto"/>
      <a:bodyPr/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_rels/sheet8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.xml"/></Relationships>
</file>

<file path=xl/worksheets/_rels/sheet9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.xml"/></Relationships>
</file>

<file path=xl/worksheets/_rels/sheet10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6.xml"/></Relationships>
</file>

<file path=xl/worksheets/_rels/sheet1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7.xml"/></Relationships>
</file>

<file path=xl/worksheets/_rels/sheet1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8.xml"/></Relationships>
</file>

<file path=xl/worksheets/_rels/sheet1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9.xml"/></Relationships>
</file>

<file path=xl/worksheets/_rels/sheet1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0.xml"/></Relationships>
</file>

<file path=xl/worksheets/_rels/sheet1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1.xml"/></Relationships>
</file>

<file path=xl/worksheets/_rels/sheet1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2.xml"/></Relationships>
</file>

<file path=xl/worksheets/_rels/sheet1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3.xml"/></Relationships>
</file>

<file path=xl/worksheets/_rels/sheet18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4.xml"/></Relationships>
</file>

<file path=xl/worksheets/_rels/sheet20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5.xml"/></Relationships>
</file>

<file path=xl/worksheets/_rels/sheet2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6.xml"/></Relationships>
</file>

<file path=xl/worksheets/_rels/sheet2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7.xml"/></Relationships>
</file>

<file path=xl/worksheets/_rels/sheet2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8.xml"/></Relationships>
</file>

<file path=xl/worksheets/_rels/sheet2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9.xml"/></Relationships>
</file>

<file path=xl/worksheets/_rels/sheet2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0.xml"/></Relationships>
</file>

<file path=xl/worksheets/_rels/sheet2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1.xml"/></Relationships>
</file>

<file path=xl/worksheets/_rels/sheet28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2.xml"/></Relationships>
</file>

<file path=xl/worksheets/_rels/sheet29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3.xml"/></Relationships>
</file>

<file path=xl/worksheets/_rels/sheet3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4.xml"/></Relationships>
</file>

<file path=xl/worksheets/_rels/sheet3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5.xml"/></Relationships>
</file>

<file path=xl/worksheets/_rels/sheet3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6.xml"/></Relationships>
</file>

<file path=xl/worksheets/_rels/sheet3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7.xml"/></Relationships>
</file>

<file path=xl/worksheets/_rels/sheet3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8.xml"/></Relationships>
</file>

<file path=xl/worksheets/_rels/sheet3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9.xml"/></Relationships>
</file>

<file path=xl/worksheets/_rels/sheet3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0.xml"/></Relationships>
</file>

<file path=xl/worksheets/_rels/sheet38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1.xml"/></Relationships>
</file>

<file path=xl/worksheets/_rels/sheet4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2.xml"/></Relationships>
</file>

<file path=xl/worksheets/_rels/sheet4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3.xml"/></Relationships>
</file>

<file path=xl/worksheets/_rels/sheet4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4.xml"/></Relationships>
</file>

<file path=xl/worksheets/_rels/sheet50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5.xml"/></Relationships>
</file>

<file path=xl/worksheets/_rels/sheet5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6.xml"/></Relationships>
</file>

<file path=xl/worksheets/_rels/sheet5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7.xml"/></Relationships>
</file>

<file path=xl/worksheets/_rels/sheet5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8.xml"/></Relationships>
</file>

<file path=xl/worksheets/_rels/sheet5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9.xml"/></Relationships>
</file>

<file path=xl/worksheets/_rels/sheet5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0.xml"/></Relationships>
</file>

<file path=xl/worksheets/_rels/sheet6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1.xml"/></Relationships>
</file>

<file path=xl/worksheets/_rels/sheet6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2.xml"/></Relationships>
</file>

<file path=xl/worksheets/_rels/sheet6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3.xml"/></Relationships>
</file>

<file path=xl/worksheets/_rels/sheet6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4.xml"/></Relationships>
</file>

<file path=xl/worksheets/_rels/sheet7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5.xml"/></Relationships>
</file>

<file path=xl/worksheets/_rels/sheet7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6.xml"/></Relationships>
</file>

<file path=xl/worksheets/_rels/sheet80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7.xml"/></Relationships>
</file>

<file path=xl/worksheets/_rels/sheet9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8.xml"/></Relationships>
</file>

<file path=xl/worksheets/_rels/sheet9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9.xml"/></Relationships>
</file>

<file path=xl/worksheets/_rels/sheet9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0.xml"/></Relationships>
</file>

<file path=xl/worksheets/_rels/sheet9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1.xml"/></Relationships>
</file>

<file path=xl/worksheets/_rels/sheet99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2.xml"/></Relationships>
</file>

<file path=xl/worksheets/_rels/sheet100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28.8125"/>
  </cols>
  <sheetData>
    <row r="1" ht="15" customHeight="1">
      <c r="A1" s="1" t="s">
        <v>0</v>
      </c>
      <c r="B1" s="1"/>
    </row>
    <row r="2">
      <c r="A2" s="1" t="s">
        <v>1</v>
      </c>
    </row>
    <row r="3" ht="15" customHeight="1">
      <c r="A3" s="1"/>
      <c r="B3" s="1"/>
    </row>
    <row r="4" ht="15" customHeight="1">
      <c r="A4" t="s">
        <v>2</v>
      </c>
    </row>
    <row r="6">
      <c r="A6" s="1" t="s">
        <v>3</v>
      </c>
    </row>
    <row r="7">
      <c r="A7" s="1"/>
    </row>
    <row r="8">
      <c r="A8" s="2" t="s">
        <v>4</v>
      </c>
    </row>
    <row r="9">
      <c r="A9" s="2" t="s">
        <v>5</v>
      </c>
    </row>
    <row r="10">
      <c r="A10" s="2" t="s">
        <v>6</v>
      </c>
    </row>
    <row r="11">
      <c r="A11" s="2" t="s">
        <v>7</v>
      </c>
    </row>
    <row r="12">
      <c r="A12" s="2" t="s">
        <v>8</v>
      </c>
    </row>
    <row r="13">
      <c r="A13" s="2" t="s">
        <v>9</v>
      </c>
    </row>
    <row r="14">
      <c r="A14" s="2" t="s">
        <v>10</v>
      </c>
    </row>
    <row r="15">
      <c r="A15" s="2" t="s">
        <v>11</v>
      </c>
    </row>
    <row r="16">
      <c r="A16" s="2" t="s">
        <v>12</v>
      </c>
    </row>
    <row r="17">
      <c r="A17" s="2" t="s">
        <v>13</v>
      </c>
    </row>
    <row r="18">
      <c r="A18" s="2" t="s">
        <v>14</v>
      </c>
    </row>
  </sheetData>
  <hyperlinks>
    <hyperlink location="TOC!A8" ref="A8"/>
    <hyperlink location="TOC!A20" ref="A9"/>
    <hyperlink location="TOC!A58" ref="A10"/>
    <hyperlink location="TOC!A107" ref="A11"/>
    <hyperlink location="TOC!A134" ref="A12"/>
    <hyperlink location="TOC!A157" ref="A13"/>
    <hyperlink location="TOC!A181" ref="A14"/>
    <hyperlink location="TOC!A197" ref="A15"/>
    <hyperlink location="TOC!A201" ref="A16"/>
    <hyperlink location="TOC!A218" ref="A17"/>
    <hyperlink location="TOC!A242" ref="A18"/>
  </hyperlinks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"/>
    <col customWidth="1" min="2" max="2" width="85.544642999999994"/>
  </cols>
  <sheetData>
    <row r="1" ht="15" customHeight="1">
      <c r="A1" s="1" t="s">
        <v>0</v>
      </c>
      <c r="B1" s="1"/>
    </row>
    <row r="2">
      <c r="A2" s="1" t="s">
        <v>1</v>
      </c>
    </row>
    <row r="3" ht="15" customHeight="1">
      <c r="A3" s="1"/>
      <c r="B3" s="1"/>
    </row>
    <row r="4" ht="15" customHeight="1">
      <c r="A4" t="s">
        <v>2</v>
      </c>
    </row>
    <row r="6" ht="15" customHeight="1">
      <c r="A6" s="1" t="s">
        <v>15</v>
      </c>
    </row>
    <row r="7" ht="15" customHeight="1">
      <c r="A7" s="1"/>
    </row>
    <row r="8" ht="15" customHeight="1">
      <c r="A8" s="1" t="s">
        <v>4</v>
      </c>
    </row>
    <row r="9" ht="15" customHeight="1">
      <c r="A9" s="1"/>
    </row>
    <row r="10" ht="15" customHeight="1">
      <c r="A10" t="s">
        <v>16</v>
      </c>
    </row>
    <row r="11" ht="15" customHeight="1">
      <c r="A11" s="1"/>
      <c r="B11" s="2" t="s">
        <v>17</v>
      </c>
    </row>
    <row r="12" ht="15" customHeight="1">
      <c r="A12" s="1"/>
    </row>
    <row r="13" ht="15" customHeight="1">
      <c r="A13" t="s">
        <v>18</v>
      </c>
    </row>
    <row r="14" ht="15" customHeight="1">
      <c r="A14" s="1"/>
      <c r="B14" s="2" t="s">
        <v>19</v>
      </c>
    </row>
    <row r="15" ht="15" customHeight="1">
      <c r="A15" s="1"/>
      <c r="B15" s="2" t="s">
        <v>20</v>
      </c>
    </row>
    <row r="16" ht="15" customHeight="1">
      <c r="A16" s="1"/>
      <c r="B16" s="2"/>
    </row>
    <row r="17" ht="15" customHeight="1">
      <c r="A17" t="s">
        <v>21</v>
      </c>
      <c r="B17" s="2"/>
    </row>
    <row r="18" ht="15" customHeight="1">
      <c r="A18" s="1"/>
      <c r="B18" s="2" t="s">
        <v>21</v>
      </c>
    </row>
    <row r="19" ht="15" customHeight="1">
      <c r="A19" s="1"/>
    </row>
    <row r="20" ht="15" customHeight="1">
      <c r="A20" s="1" t="s">
        <v>5</v>
      </c>
    </row>
    <row r="21" ht="15" customHeight="1">
      <c r="B21" s="2"/>
    </row>
    <row r="22" ht="15" customHeight="1">
      <c r="A22" t="s">
        <v>22</v>
      </c>
      <c r="B22" s="2"/>
    </row>
    <row r="23">
      <c r="B23" s="2" t="s">
        <v>23</v>
      </c>
    </row>
    <row r="24">
      <c r="B24" s="2" t="s">
        <v>24</v>
      </c>
    </row>
    <row r="25">
      <c r="B25" s="2" t="s">
        <v>25</v>
      </c>
    </row>
    <row r="27">
      <c r="A27" t="s">
        <v>26</v>
      </c>
    </row>
    <row r="28">
      <c r="B28" s="2" t="s">
        <v>27</v>
      </c>
    </row>
    <row r="29">
      <c r="B29" s="2" t="s">
        <v>28</v>
      </c>
    </row>
    <row r="31">
      <c r="A31" t="s">
        <v>29</v>
      </c>
    </row>
    <row r="32">
      <c r="B32" s="2" t="s">
        <v>30</v>
      </c>
    </row>
    <row r="33">
      <c r="B33" s="2" t="s">
        <v>31</v>
      </c>
    </row>
    <row r="34">
      <c r="B34" s="2" t="s">
        <v>32</v>
      </c>
    </row>
    <row r="35">
      <c r="B35" s="2" t="s">
        <v>33</v>
      </c>
    </row>
    <row r="36">
      <c r="B36" s="2" t="s">
        <v>34</v>
      </c>
    </row>
    <row r="38">
      <c r="A38" t="s">
        <v>35</v>
      </c>
    </row>
    <row r="39">
      <c r="B39" s="2" t="s">
        <v>36</v>
      </c>
    </row>
    <row r="40">
      <c r="B40" s="2" t="s">
        <v>37</v>
      </c>
    </row>
    <row r="41">
      <c r="B41" s="2" t="s">
        <v>38</v>
      </c>
    </row>
    <row r="42">
      <c r="B42" s="2" t="s">
        <v>39</v>
      </c>
    </row>
    <row r="43">
      <c r="B43" s="2" t="s">
        <v>40</v>
      </c>
    </row>
    <row r="44">
      <c r="B44" s="2" t="s">
        <v>41</v>
      </c>
    </row>
    <row r="45">
      <c r="B45" s="2"/>
    </row>
    <row r="46">
      <c r="A46" t="s">
        <v>42</v>
      </c>
    </row>
    <row r="47">
      <c r="B47" s="2" t="s">
        <v>43</v>
      </c>
    </row>
    <row r="48">
      <c r="B48" s="2" t="s">
        <v>44</v>
      </c>
    </row>
    <row r="49">
      <c r="B49" s="2" t="s">
        <v>45</v>
      </c>
    </row>
    <row r="50">
      <c r="B50" s="2" t="s">
        <v>46</v>
      </c>
    </row>
    <row r="51">
      <c r="B51" s="2" t="s">
        <v>47</v>
      </c>
    </row>
    <row r="52">
      <c r="B52" s="2"/>
    </row>
    <row r="53">
      <c r="A53" t="s">
        <v>48</v>
      </c>
    </row>
    <row r="54">
      <c r="B54" s="2" t="s">
        <v>49</v>
      </c>
    </row>
    <row r="55">
      <c r="B55" s="2" t="s">
        <v>50</v>
      </c>
    </row>
    <row r="56">
      <c r="B56" s="2" t="s">
        <v>51</v>
      </c>
    </row>
    <row r="58">
      <c r="A58" s="1" t="s">
        <v>6</v>
      </c>
    </row>
    <row r="60">
      <c r="A60" t="s">
        <v>52</v>
      </c>
    </row>
    <row r="61">
      <c r="B61" s="2" t="s">
        <v>53</v>
      </c>
    </row>
    <row r="62">
      <c r="B62" s="2" t="s">
        <v>54</v>
      </c>
    </row>
    <row r="64">
      <c r="A64" t="s">
        <v>55</v>
      </c>
    </row>
    <row r="65">
      <c r="B65" s="2" t="s">
        <v>56</v>
      </c>
    </row>
    <row r="66">
      <c r="B66" s="2" t="s">
        <v>57</v>
      </c>
    </row>
    <row r="67">
      <c r="B67" s="2" t="s">
        <v>58</v>
      </c>
    </row>
    <row r="68">
      <c r="B68" s="2" t="s">
        <v>59</v>
      </c>
    </row>
    <row r="69">
      <c r="B69" s="2" t="s">
        <v>60</v>
      </c>
    </row>
    <row r="71">
      <c r="A71" t="s">
        <v>61</v>
      </c>
    </row>
    <row r="72">
      <c r="B72" s="2" t="s">
        <v>62</v>
      </c>
    </row>
    <row r="73">
      <c r="B73" s="2" t="s">
        <v>63</v>
      </c>
    </row>
    <row r="74">
      <c r="B74" s="2" t="s">
        <v>64</v>
      </c>
    </row>
    <row r="75">
      <c r="B75" s="2"/>
    </row>
    <row r="76">
      <c r="A76" t="s">
        <v>65</v>
      </c>
      <c r="B76" s="2"/>
    </row>
    <row r="77">
      <c r="B77" s="2" t="s">
        <v>66</v>
      </c>
    </row>
    <row r="78">
      <c r="B78" s="2" t="s">
        <v>67</v>
      </c>
    </row>
    <row r="80">
      <c r="A80" t="s">
        <v>68</v>
      </c>
    </row>
    <row r="81">
      <c r="B81" s="2" t="s">
        <v>69</v>
      </c>
    </row>
    <row r="82">
      <c r="B82" s="2" t="s">
        <v>70</v>
      </c>
    </row>
    <row r="84">
      <c r="A84" t="s">
        <v>71</v>
      </c>
    </row>
    <row r="85">
      <c r="B85" s="2" t="s">
        <v>72</v>
      </c>
    </row>
    <row r="86">
      <c r="B86" s="2" t="s">
        <v>73</v>
      </c>
    </row>
    <row r="88">
      <c r="A88" t="s">
        <v>74</v>
      </c>
    </row>
    <row r="89">
      <c r="B89" s="2" t="s">
        <v>75</v>
      </c>
    </row>
    <row r="90">
      <c r="B90" s="2" t="s">
        <v>76</v>
      </c>
    </row>
    <row r="91">
      <c r="B91" s="2"/>
    </row>
    <row r="92">
      <c r="A92" t="s">
        <v>77</v>
      </c>
    </row>
    <row r="93">
      <c r="B93" s="2" t="s">
        <v>78</v>
      </c>
    </row>
    <row r="94">
      <c r="B94" s="2" t="s">
        <v>79</v>
      </c>
    </row>
    <row r="95">
      <c r="B95" s="2" t="s">
        <v>80</v>
      </c>
    </row>
    <row r="97">
      <c r="A97" t="s">
        <v>81</v>
      </c>
    </row>
    <row r="98">
      <c r="B98" s="2" t="s">
        <v>82</v>
      </c>
    </row>
    <row r="99">
      <c r="B99" s="2" t="s">
        <v>83</v>
      </c>
    </row>
    <row r="100">
      <c r="B100" s="2"/>
    </row>
    <row r="101">
      <c r="A101" t="s">
        <v>84</v>
      </c>
      <c r="B101" s="2"/>
    </row>
    <row r="102">
      <c r="B102" s="2" t="s">
        <v>85</v>
      </c>
    </row>
    <row r="103">
      <c r="B103" s="2" t="s">
        <v>86</v>
      </c>
    </row>
    <row r="104">
      <c r="B104" s="2" t="s">
        <v>87</v>
      </c>
    </row>
    <row r="105">
      <c r="B105" s="2" t="s">
        <v>88</v>
      </c>
    </row>
    <row r="107">
      <c r="A107" s="1" t="s">
        <v>7</v>
      </c>
    </row>
    <row r="109">
      <c r="A109" t="s">
        <v>89</v>
      </c>
    </row>
    <row r="110">
      <c r="B110" s="2" t="s">
        <v>90</v>
      </c>
    </row>
    <row r="111">
      <c r="B111" s="2" t="s">
        <v>91</v>
      </c>
    </row>
    <row r="112">
      <c r="B112" s="2"/>
    </row>
    <row r="113">
      <c r="A113" t="s">
        <v>92</v>
      </c>
      <c r="B113" s="2"/>
    </row>
    <row r="114">
      <c r="B114" s="2" t="s">
        <v>93</v>
      </c>
    </row>
    <row r="115">
      <c r="B115" s="2" t="s">
        <v>94</v>
      </c>
    </row>
    <row r="117">
      <c r="A117" t="s">
        <v>95</v>
      </c>
    </row>
    <row r="118">
      <c r="B118" s="2" t="s">
        <v>96</v>
      </c>
    </row>
    <row r="119">
      <c r="B119" s="2" t="s">
        <v>97</v>
      </c>
    </row>
    <row r="121">
      <c r="A121" t="s">
        <v>98</v>
      </c>
    </row>
    <row r="122">
      <c r="B122" s="2" t="s">
        <v>96</v>
      </c>
    </row>
    <row r="123">
      <c r="B123" s="2" t="s">
        <v>97</v>
      </c>
    </row>
    <row r="124">
      <c r="B124" s="2" t="s">
        <v>99</v>
      </c>
    </row>
    <row r="125">
      <c r="B125" s="2" t="s">
        <v>100</v>
      </c>
    </row>
    <row r="126">
      <c r="B126" s="2" t="s">
        <v>101</v>
      </c>
    </row>
    <row r="127">
      <c r="B127" s="2"/>
    </row>
    <row r="128">
      <c r="A128" t="s">
        <v>102</v>
      </c>
      <c r="B128" s="2"/>
    </row>
    <row r="129">
      <c r="B129" s="2" t="s">
        <v>103</v>
      </c>
    </row>
    <row r="130">
      <c r="B130" s="2"/>
    </row>
    <row r="131">
      <c r="A131" t="s">
        <v>104</v>
      </c>
      <c r="B131" s="2"/>
    </row>
    <row r="132">
      <c r="B132" s="2" t="s">
        <v>105</v>
      </c>
    </row>
    <row r="133">
      <c r="B133" s="2"/>
    </row>
    <row r="134">
      <c r="A134" s="1" t="s">
        <v>8</v>
      </c>
    </row>
    <row r="136">
      <c r="A136" t="s">
        <v>89</v>
      </c>
    </row>
    <row r="137">
      <c r="B137" s="2" t="s">
        <v>106</v>
      </c>
    </row>
    <row r="138">
      <c r="B138" s="2" t="s">
        <v>107</v>
      </c>
    </row>
    <row r="139">
      <c r="B139" s="2" t="s">
        <v>108</v>
      </c>
    </row>
    <row r="140">
      <c r="B140" s="2"/>
    </row>
    <row r="141">
      <c r="A141" t="s">
        <v>109</v>
      </c>
      <c r="B141" s="2"/>
    </row>
    <row r="142">
      <c r="B142" s="2" t="s">
        <v>110</v>
      </c>
    </row>
    <row r="143">
      <c r="B143" s="2" t="s">
        <v>111</v>
      </c>
    </row>
    <row r="144">
      <c r="B144" s="2"/>
    </row>
    <row r="145">
      <c r="A145" t="s">
        <v>112</v>
      </c>
      <c r="B145" s="2"/>
    </row>
    <row r="146">
      <c r="B146" s="2" t="s">
        <v>113</v>
      </c>
    </row>
    <row r="147">
      <c r="B147" s="2"/>
    </row>
    <row r="148">
      <c r="A148" t="s">
        <v>114</v>
      </c>
      <c r="B148" s="2"/>
    </row>
    <row r="149">
      <c r="B149" s="2" t="s">
        <v>115</v>
      </c>
    </row>
    <row r="150">
      <c r="B150" s="2" t="s">
        <v>116</v>
      </c>
    </row>
    <row r="151">
      <c r="B151" s="2"/>
    </row>
    <row r="152">
      <c r="A152" t="s">
        <v>117</v>
      </c>
      <c r="B152" s="2"/>
    </row>
    <row r="153">
      <c r="B153" s="2" t="s">
        <v>115</v>
      </c>
    </row>
    <row r="154">
      <c r="B154" s="2" t="s">
        <v>118</v>
      </c>
    </row>
    <row r="155">
      <c r="B155" s="2" t="s">
        <v>119</v>
      </c>
    </row>
    <row r="156">
      <c r="B156" s="2"/>
    </row>
    <row r="157">
      <c r="A157" s="1" t="s">
        <v>9</v>
      </c>
      <c r="B157" s="2"/>
    </row>
    <row r="158">
      <c r="A158" s="1"/>
      <c r="B158" s="2"/>
    </row>
    <row r="159">
      <c r="A159" t="s">
        <v>120</v>
      </c>
      <c r="B159" s="2"/>
    </row>
    <row r="160">
      <c r="A160" s="1"/>
      <c r="B160" s="2" t="s">
        <v>121</v>
      </c>
    </row>
    <row r="161">
      <c r="A161" s="1"/>
      <c r="B161" s="2" t="s">
        <v>122</v>
      </c>
    </row>
    <row r="162">
      <c r="A162" s="1"/>
      <c r="B162" s="2" t="s">
        <v>123</v>
      </c>
    </row>
    <row r="163">
      <c r="A163" s="1"/>
      <c r="B163" s="2"/>
    </row>
    <row r="164">
      <c r="A164" t="s">
        <v>124</v>
      </c>
      <c r="B164" s="2"/>
    </row>
    <row r="165">
      <c r="A165" s="1"/>
      <c r="B165" s="2" t="s">
        <v>125</v>
      </c>
    </row>
    <row r="166">
      <c r="B166" s="2" t="s">
        <v>126</v>
      </c>
    </row>
    <row r="167">
      <c r="B167" s="2"/>
    </row>
    <row r="168">
      <c r="A168" t="s">
        <v>127</v>
      </c>
      <c r="B168" s="2"/>
    </row>
    <row r="169">
      <c r="B169" s="2" t="s">
        <v>125</v>
      </c>
    </row>
    <row r="170">
      <c r="B170" s="2" t="s">
        <v>126</v>
      </c>
    </row>
    <row r="171">
      <c r="B171" s="2"/>
    </row>
    <row r="172">
      <c r="A172" t="s">
        <v>128</v>
      </c>
      <c r="B172" s="2"/>
    </row>
    <row r="173">
      <c r="B173" s="2" t="s">
        <v>125</v>
      </c>
    </row>
    <row r="174">
      <c r="B174" s="2" t="s">
        <v>126</v>
      </c>
    </row>
    <row r="175">
      <c r="B175" s="2" t="s">
        <v>129</v>
      </c>
    </row>
    <row r="176">
      <c r="B176" s="2" t="s">
        <v>130</v>
      </c>
    </row>
    <row r="177">
      <c r="B177" s="2"/>
    </row>
    <row r="178">
      <c r="A178" t="s">
        <v>131</v>
      </c>
      <c r="B178" s="2"/>
    </row>
    <row r="179">
      <c r="B179" s="2" t="s">
        <v>132</v>
      </c>
    </row>
    <row r="180">
      <c r="B180" s="2"/>
    </row>
    <row r="181">
      <c r="A181" s="1" t="s">
        <v>10</v>
      </c>
      <c r="B181" s="2"/>
    </row>
    <row r="182">
      <c r="B182" s="2"/>
    </row>
    <row r="183">
      <c r="A183" t="s">
        <v>133</v>
      </c>
      <c r="B183" s="2"/>
    </row>
    <row r="184">
      <c r="B184" s="2" t="s">
        <v>134</v>
      </c>
    </row>
    <row r="185">
      <c r="B185" s="2"/>
    </row>
    <row r="186">
      <c r="A186" t="s">
        <v>135</v>
      </c>
      <c r="B186" s="2"/>
    </row>
    <row r="187">
      <c r="B187" s="2" t="s">
        <v>136</v>
      </c>
    </row>
    <row r="188">
      <c r="B188" s="2" t="s">
        <v>137</v>
      </c>
    </row>
    <row r="189">
      <c r="B189" s="2" t="s">
        <v>138</v>
      </c>
    </row>
    <row r="190">
      <c r="B190" s="2"/>
    </row>
    <row r="191">
      <c r="A191" t="s">
        <v>139</v>
      </c>
      <c r="B191" s="2"/>
    </row>
    <row r="192">
      <c r="B192" s="2" t="s">
        <v>140</v>
      </c>
    </row>
    <row r="193">
      <c r="B193" s="2"/>
    </row>
    <row r="194">
      <c r="A194" t="s">
        <v>127</v>
      </c>
      <c r="B194" s="2"/>
    </row>
    <row r="195">
      <c r="B195" s="2" t="s">
        <v>141</v>
      </c>
    </row>
    <row r="196">
      <c r="B196" s="2"/>
    </row>
    <row r="197">
      <c r="A197" s="1" t="s">
        <v>11</v>
      </c>
      <c r="B197" s="2"/>
    </row>
    <row r="198">
      <c r="A198" s="1"/>
      <c r="B198" s="2" t="s">
        <v>142</v>
      </c>
    </row>
    <row r="199">
      <c r="B199" s="2" t="s">
        <v>143</v>
      </c>
    </row>
    <row r="200">
      <c r="B200" s="2"/>
    </row>
    <row r="201" s="1" customFormat="1">
      <c r="A201" s="1" t="s">
        <v>12</v>
      </c>
      <c r="B201" s="3"/>
    </row>
    <row r="202">
      <c r="B202" s="2"/>
    </row>
    <row r="203">
      <c r="A203" t="s">
        <v>144</v>
      </c>
      <c r="B203" s="2"/>
    </row>
    <row r="204">
      <c r="B204" s="2" t="s">
        <v>145</v>
      </c>
    </row>
    <row r="205">
      <c r="B205" s="2"/>
    </row>
    <row r="206">
      <c r="A206" t="s">
        <v>146</v>
      </c>
      <c r="B206" s="2"/>
    </row>
    <row r="207">
      <c r="B207" s="2" t="s">
        <v>133</v>
      </c>
    </row>
    <row r="208">
      <c r="B208" s="2" t="s">
        <v>147</v>
      </c>
    </row>
    <row r="209">
      <c r="B209" s="2"/>
    </row>
    <row r="210">
      <c r="A210" t="s">
        <v>148</v>
      </c>
      <c r="B210" s="2"/>
    </row>
    <row r="211">
      <c r="B211" s="2" t="s">
        <v>133</v>
      </c>
    </row>
    <row r="212">
      <c r="B212" s="2" t="s">
        <v>147</v>
      </c>
    </row>
    <row r="213">
      <c r="B213" s="2" t="s">
        <v>149</v>
      </c>
    </row>
    <row r="214">
      <c r="B214" s="2"/>
    </row>
    <row r="215">
      <c r="A215" t="s">
        <v>150</v>
      </c>
      <c r="B215" s="2"/>
    </row>
    <row r="216">
      <c r="B216" s="2" t="s">
        <v>151</v>
      </c>
    </row>
    <row r="217">
      <c r="B217" s="2"/>
    </row>
    <row r="218">
      <c r="A218" s="1" t="s">
        <v>152</v>
      </c>
      <c r="B218" s="2"/>
    </row>
    <row r="219">
      <c r="A219" s="1"/>
      <c r="B219" s="2"/>
    </row>
    <row r="220">
      <c r="A220" t="s">
        <v>153</v>
      </c>
      <c r="B220" s="2"/>
    </row>
    <row r="221">
      <c r="A221" s="1"/>
      <c r="B221" s="2" t="s">
        <v>154</v>
      </c>
    </row>
    <row r="222">
      <c r="A222" s="1"/>
      <c r="B222" s="2" t="s">
        <v>155</v>
      </c>
    </row>
    <row r="223">
      <c r="A223" s="1"/>
      <c r="B223" s="2" t="s">
        <v>156</v>
      </c>
    </row>
    <row r="224">
      <c r="A224" s="1"/>
      <c r="B224" s="2" t="s">
        <v>157</v>
      </c>
    </row>
    <row r="225">
      <c r="A225" s="1"/>
      <c r="B225" s="2"/>
    </row>
    <row r="226">
      <c r="A226" t="s">
        <v>158</v>
      </c>
      <c r="B226" s="2"/>
    </row>
    <row r="227">
      <c r="A227" s="1"/>
      <c r="B227" s="2" t="s">
        <v>159</v>
      </c>
    </row>
    <row r="228">
      <c r="A228" s="1"/>
      <c r="B228" s="2" t="s">
        <v>160</v>
      </c>
    </row>
    <row r="229">
      <c r="A229" s="1"/>
      <c r="B229" s="2" t="s">
        <v>161</v>
      </c>
    </row>
    <row r="230">
      <c r="A230" s="1"/>
      <c r="B230" s="2" t="s">
        <v>162</v>
      </c>
    </row>
    <row r="231">
      <c r="B231" s="2"/>
    </row>
    <row r="232">
      <c r="A232" t="s">
        <v>163</v>
      </c>
      <c r="B232" s="2"/>
    </row>
    <row r="233">
      <c r="B233" s="2" t="s">
        <v>164</v>
      </c>
    </row>
    <row r="234">
      <c r="B234" s="2"/>
    </row>
    <row r="235">
      <c r="A235" t="s">
        <v>165</v>
      </c>
      <c r="B235" s="2"/>
    </row>
    <row r="236">
      <c r="B236" s="2" t="s">
        <v>166</v>
      </c>
    </row>
    <row r="237">
      <c r="B237" s="2"/>
    </row>
    <row r="238">
      <c r="A238" t="s">
        <v>167</v>
      </c>
      <c r="B238" s="2"/>
    </row>
    <row r="239">
      <c r="B239" s="2" t="s">
        <v>168</v>
      </c>
    </row>
    <row r="240">
      <c r="B240" s="2" t="s">
        <v>169</v>
      </c>
    </row>
    <row r="242">
      <c r="A242" s="1" t="s">
        <v>170</v>
      </c>
    </row>
    <row r="243">
      <c r="A243" s="1"/>
    </row>
    <row r="244">
      <c r="B244" s="2" t="s">
        <v>171</v>
      </c>
    </row>
    <row r="245">
      <c r="B245" s="2" t="s">
        <v>172</v>
      </c>
    </row>
  </sheetData>
  <hyperlinks>
    <hyperlink location="Error!A1" ref="B11"/>
    <hyperlink location="DM!A1" ref="B14"/>
    <hyperlink location="DM!M6" ref="B15"/>
    <hyperlink location="PT!A1" ref="B18"/>
    <hyperlink location="Moving!A1" ref="B23"/>
    <hyperlink location="'Moving 1'!A1" ref="B24"/>
    <hyperlink location="'Moving 1a'!A1" ref="B25"/>
    <hyperlink location="Weighted!A1" ref="B28"/>
    <hyperlink location="'Weighted 2'!A1" ref="B29"/>
    <hyperlink location="Exp!A1" ref="B32"/>
    <hyperlink location="'Exp 1'!A1" ref="B33"/>
    <hyperlink location="'Exp 1a'!A1" ref="B34"/>
    <hyperlink location="'Exp 2'!A1" ref="B35"/>
    <hyperlink location="'Exp 3'!A1" ref="B36"/>
    <hyperlink location="Holt!A1" ref="B39"/>
    <hyperlink location="'Holt 2'!A1" ref="B40"/>
    <hyperlink location="'Holt 4'!A1" ref="B41"/>
    <hyperlink location="'Holt 2'!Q1" ref="B42"/>
    <hyperlink location="'Holt 3'!A1" ref="B43"/>
    <hyperlink location="'Holt 5'!A1" ref="B44"/>
    <hyperlink location="'Holt-Winter'!A1" ref="B47"/>
    <hyperlink location="'Holt-Winter 1'!A1" ref="B48"/>
    <hyperlink location="'Holt-Winter 2'!A1" ref="B49"/>
    <hyperlink location="'Holt-Winters 5'!A1" ref="B50"/>
    <hyperlink location="'Holt Winters 6'!A1" ref="B51"/>
    <hyperlink location="'Holt-Winter 3'!A1" ref="B54"/>
    <hyperlink location="'Holt-Winters 4'!A1" ref="B55"/>
    <hyperlink location="'Holt-Winters 4a'!A1" ref="B56"/>
    <hyperlink location="Stationary!A1" ref="B61"/>
    <hyperlink location="Stationary!L1" ref="B62"/>
    <hyperlink location="'ACF 0'!A1" ref="B65"/>
    <hyperlink location="ACF!A1" ref="B66"/>
    <hyperlink location="ACF!O1" ref="B67"/>
    <hyperlink location="ACF!T1" ref="B68"/>
    <hyperlink location="ACF!Y1" ref="B69"/>
    <hyperlink location="'PACF 1'!A1" ref="B72"/>
    <hyperlink location="'PACF 1'!R1" ref="B73"/>
    <hyperlink location="'PACF 1'!J27" ref="B74"/>
    <hyperlink location="Correlogram!A1" ref="B77"/>
    <hyperlink location="Correlogram!P1" ref="B78"/>
    <hyperlink location="'WN 1'!A1" ref="B81"/>
    <hyperlink location="'WN 1'!A1" ref="B82"/>
    <hyperlink location="'RW 1'!A1" ref="B85"/>
    <hyperlink location="'RW 1a'!A1" ref="B86"/>
    <hyperlink location="'DT 1'!A1" ref="B89"/>
    <hyperlink location="'DT 1a'!A1" ref="B90"/>
    <hyperlink location="'DF 0'!A1" ref="B93"/>
    <hyperlink location="'DF 1'!A1" ref="B94"/>
    <hyperlink location="'DF 2'!A1" ref="B95"/>
    <hyperlink location="'Test 1'!A1" ref="B98"/>
    <hyperlink location="'Test 2'!A1" ref="B99"/>
    <hyperlink location="'Missing 1'!A1" ref="B102"/>
    <hyperlink location="'Missing 2'!A1" ref="B103"/>
    <hyperlink location="'Missing 3'!A1" ref="B104"/>
    <hyperlink location="'Missing 4'!A1" ref="B105"/>
    <hyperlink location="'AR 1'!A1" ref="B110"/>
    <hyperlink location="'AR 1'!A1" ref="B111"/>
    <hyperlink location="'AR 1a'!A1" ref="B114"/>
    <hyperlink location="'AR 2'!A1" ref="B115"/>
    <hyperlink location="'AR 1d'!A1" ref="B118"/>
    <hyperlink location="'AR 2d'!A1" ref="B119"/>
    <hyperlink location="'AR 1b'!A1" ref="B122"/>
    <hyperlink location="'AR 2b'!A1" ref="B123"/>
    <hyperlink location="'AR 2b'!AB1" ref="B124"/>
    <hyperlink location="'AR 1c'!A1" ref="B125"/>
    <hyperlink location="'AR 2c'!A1" ref="B126"/>
    <hyperlink location="ADF!A1" ref="B129"/>
    <hyperlink location="'PP KPSS'!A1" ref="B132"/>
    <hyperlink location="MA!A1" ref="B137"/>
    <hyperlink location="'MA 1'!A1" ref="B138"/>
    <hyperlink location="'MA 2'!A1" ref="B139"/>
    <hyperlink location="'MA 3'!A1" ref="B142"/>
    <hyperlink location="'MA 3'!E1" ref="B143"/>
    <hyperlink location="'MA 8'!A1" ref="B146"/>
    <hyperlink location="'MA 4'!A1" ref="B149"/>
    <hyperlink location="'MA 4'!AB1" ref="B150"/>
    <hyperlink location="'MA 5'!A1" ref="B153"/>
    <hyperlink location="'MA 6'!A1" ref="B154"/>
    <hyperlink location="'MA 7'!A1" ref="B155"/>
    <hyperlink location="'ARMA 1.1f'!A1" ref="B160"/>
    <hyperlink location="'ARMA 1.1'!A1" ref="B161"/>
    <hyperlink location="'ARMA 1.1a'!A1" ref="B162"/>
    <hyperlink location="'ARMA 1.1b'!A1" ref="B165"/>
    <hyperlink location="'ARMA 1.1c'!A1" ref="B166"/>
    <hyperlink location="'ARMA 1.1b'!A1" ref="B169"/>
    <hyperlink location="'ARMA 1.1e'!V1" ref="B170"/>
    <hyperlink location="'ARMA 1.1d'!V1" ref="B173"/>
    <hyperlink location="'ARMA 1.1d'!V1" ref="B174"/>
    <hyperlink location="'ARMA 2.1'!A1" ref="B175"/>
    <hyperlink location="'ARMA 2.2'!A1" ref="B176"/>
    <hyperlink location="'AR 4'!A1" ref="B179"/>
    <hyperlink location="Diff!A1" ref="B184"/>
    <hyperlink location="'ARIMA 1'!A1" ref="B187"/>
    <hyperlink location="'ARIMA 2'!A1" ref="B188"/>
    <hyperlink location="'ARIMA 3'!A1" ref="B189"/>
    <hyperlink location="'ARIMA 1'!H1" ref="B192"/>
    <hyperlink location="SARIMA!A1" ref="B198"/>
    <hyperlink location="'SARIMA 1'!A1" ref="B199"/>
    <hyperlink location="Crime!A1" ref="B204"/>
    <hyperlink location="'Diff 2'!A1" ref="B207"/>
    <hyperlink location="'Demean 2'!A1" ref="B208"/>
    <hyperlink location="'Diff 3'!A1" ref="B211"/>
    <hyperlink location="'Demean 3'!A1" ref="B212"/>
    <hyperlink location="LSDV!A1" ref="B213"/>
    <hyperlink location="REM!A1" ref="B216"/>
    <hyperlink location="MK!A1" ref="B221"/>
    <hyperlink location="Sen!A1" ref="B222"/>
    <hyperlink location="'MK Tool'!A1" ref="B223"/>
    <hyperlink location="'MK + Sen'!A1" ref="B224"/>
    <hyperlink location="'Granger 1'!A1" ref="B227"/>
    <hyperlink location="'Granger 2'!A1" ref="B228"/>
    <hyperlink location="'Granger 3'!A1" ref="B229"/>
    <hyperlink location="'Granger 4'!A1" ref="B230"/>
    <hyperlink location="Engle!A1" ref="B233"/>
    <hyperlink location="Cross!A1" ref="B236"/>
    <hyperlink location="ARIMAX!A1" ref="B239"/>
    <hyperlink location="'ARIMAX 1'!A1" ref="B240"/>
    <hyperlink location="'ADF Table'!A1" ref="B244"/>
    <hyperlink location="'EG Table'!A1" ref="B245"/>
  </hyperlinks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K14" activeCellId="0" sqref="K14"/>
    </sheetView>
  </sheetViews>
  <sheetFormatPr defaultRowHeight="14.25"/>
  <cols>
    <col customWidth="1" min="1" max="1" width="8.4553569999999993"/>
    <col customWidth="1" min="2" max="3" width="9.7232140000000005"/>
    <col customWidth="1" min="10" max="10" width="3.4553569999999998"/>
    <col customWidth="1" min="11" max="11" width="40.267856999999999"/>
  </cols>
  <sheetData>
    <row r="1">
      <c r="A1" s="1" t="s">
        <v>16</v>
      </c>
    </row>
    <row r="3">
      <c r="A3" s="4" t="s">
        <v>173</v>
      </c>
      <c r="B3" s="4" t="s">
        <v>174</v>
      </c>
      <c r="C3" s="4" t="s">
        <v>175</v>
      </c>
      <c r="E3" t="s">
        <v>16</v>
      </c>
    </row>
    <row r="4">
      <c r="A4">
        <v>1.2288378220245904</v>
      </c>
      <c r="B4">
        <v>0.90283699128653683</v>
      </c>
      <c r="C4">
        <v>0.89454343974205985</v>
      </c>
    </row>
    <row r="5">
      <c r="A5">
        <v>2.6684005524939503</v>
      </c>
      <c r="B5">
        <v>2.4492677875172286</v>
      </c>
      <c r="C5">
        <v>2.3213520553880973</v>
      </c>
      <c r="E5" t="e">
        <v>#NAME?</v>
      </c>
      <c r="F5" s="5" t="e">
        <v>#NAME?</v>
      </c>
      <c r="G5" s="6" t="e">
        <v>#NAME?</v>
      </c>
      <c r="I5" s="7" t="e">
        <v>#NAME?</v>
      </c>
      <c r="K5" t="e">
        <v>#NAME?</v>
      </c>
    </row>
    <row r="6">
      <c r="A6">
        <v>3.417728063820773</v>
      </c>
      <c r="B6">
        <v>3.20755808146358</v>
      </c>
      <c r="C6">
        <v>2.5208157426997531</v>
      </c>
      <c r="E6" t="e">
        <v>#NAME?</v>
      </c>
      <c r="F6" s="8" t="e">
        <v>#NAME?</v>
      </c>
      <c r="G6" s="9" t="e">
        <v>#NAME?</v>
      </c>
      <c r="I6" s="10" t="e">
        <v>#NAME?</v>
      </c>
      <c r="K6" t="e">
        <v>#NAME?</v>
      </c>
    </row>
    <row r="7">
      <c r="A7">
        <v>2.2391971568137401</v>
      </c>
      <c r="B7">
        <v>2.4383221461131046</v>
      </c>
      <c r="C7">
        <v>1.9080749545417497</v>
      </c>
      <c r="E7" t="e">
        <v>#NAME?</v>
      </c>
      <c r="F7" s="8" t="e">
        <v>#NAME?</v>
      </c>
      <c r="G7" s="9" t="e">
        <v>#NAME?</v>
      </c>
      <c r="I7" s="10" t="e">
        <v>#NAME?</v>
      </c>
      <c r="K7" t="e">
        <v>#NAME?</v>
      </c>
    </row>
    <row r="8">
      <c r="A8">
        <v>2.1225599146000729</v>
      </c>
      <c r="B8">
        <v>2.7751085910428208</v>
      </c>
      <c r="C8">
        <v>0.95078208307608991</v>
      </c>
      <c r="E8" t="e">
        <v>#NAME?</v>
      </c>
      <c r="F8" s="8" t="e">
        <v>#NAME?</v>
      </c>
      <c r="G8" s="9" t="e">
        <v>#NAME?</v>
      </c>
      <c r="I8" s="10" t="e">
        <v>#NAME?</v>
      </c>
      <c r="K8" t="e">
        <v>#NAME?</v>
      </c>
    </row>
    <row r="9">
      <c r="A9">
        <v>0.46379871540949502</v>
      </c>
      <c r="B9">
        <v>0.59316171174485999</v>
      </c>
      <c r="C9">
        <v>-0.61066482988763893</v>
      </c>
      <c r="E9" t="e">
        <v>#NAME?</v>
      </c>
      <c r="F9" s="8" t="e">
        <v>#NAME?</v>
      </c>
      <c r="G9" s="9" t="e">
        <v>#NAME?</v>
      </c>
      <c r="I9" s="10" t="e">
        <v>#NAME?</v>
      </c>
      <c r="K9" t="e">
        <v>#NAME?</v>
      </c>
    </row>
    <row r="10">
      <c r="A10">
        <v>-0.55080545418476379</v>
      </c>
      <c r="B10">
        <v>0.10851859560777</v>
      </c>
      <c r="C10">
        <v>-1.1154503364189119</v>
      </c>
      <c r="E10" t="e">
        <v>#NAME?</v>
      </c>
      <c r="F10" s="8" t="e">
        <v>#NAME?</v>
      </c>
      <c r="G10" s="9" t="e">
        <v>#NAME?</v>
      </c>
      <c r="I10" s="10" t="e">
        <v>#NAME?</v>
      </c>
      <c r="K10" t="e">
        <v>#NAME?</v>
      </c>
    </row>
    <row r="11">
      <c r="A11">
        <v>1.182946247108128</v>
      </c>
      <c r="B11">
        <v>0.87851772527493499</v>
      </c>
      <c r="C11">
        <v>1.1116308674749249</v>
      </c>
      <c r="E11" t="e">
        <v>#NAME?</v>
      </c>
      <c r="F11" s="8" t="e">
        <v>#NAME?</v>
      </c>
      <c r="G11" s="9" t="e">
        <v>#NAME?</v>
      </c>
      <c r="I11" s="10" t="e">
        <v>#NAME?</v>
      </c>
      <c r="K11" t="e">
        <v>#NAME?</v>
      </c>
    </row>
    <row r="12">
      <c r="A12">
        <v>-2.4132987150346596</v>
      </c>
      <c r="B12">
        <v>-1.16531316944428</v>
      </c>
      <c r="C12">
        <v>-2.7776482160325666</v>
      </c>
      <c r="E12" t="e">
        <v>#NAME?</v>
      </c>
      <c r="F12" s="8" t="e">
        <v>#NAME?</v>
      </c>
      <c r="G12" s="9" t="e">
        <v>#NAME?</v>
      </c>
      <c r="I12" s="10" t="e">
        <v>#NAME?</v>
      </c>
      <c r="K12" t="e">
        <v>#NAME?</v>
      </c>
    </row>
    <row r="13">
      <c r="A13">
        <v>0.97947060944543229</v>
      </c>
      <c r="B13">
        <v>0.59371930737043199</v>
      </c>
      <c r="C13">
        <v>1.5172799903636889</v>
      </c>
      <c r="E13" t="e">
        <v>#NAME?</v>
      </c>
      <c r="F13" s="11" t="e">
        <v>#NAME?</v>
      </c>
      <c r="G13" s="12" t="e">
        <v>#NAME?</v>
      </c>
      <c r="I13" s="13" t="e">
        <v>#NAME?</v>
      </c>
      <c r="K13" t="e">
        <v>#NAME?</v>
      </c>
    </row>
    <row r="14">
      <c r="A14">
        <v>0.55088233224937033</v>
      </c>
      <c r="B14">
        <v>-3.6272861603665997e-03</v>
      </c>
      <c r="C14">
        <v>0.48976791274636922</v>
      </c>
    </row>
    <row r="15">
      <c r="A15">
        <v>1.2279214175815407</v>
      </c>
      <c r="B15">
        <v>0.994315257779952</v>
      </c>
      <c r="C15">
        <v>1.0470020473746879</v>
      </c>
    </row>
    <row r="16">
      <c r="A16">
        <v>-0.92350668389272994</v>
      </c>
      <c r="B16">
        <v>0.51942478642544798</v>
      </c>
      <c r="C16">
        <v>-1.344791792233285</v>
      </c>
    </row>
    <row r="17">
      <c r="A17">
        <v>-9.0278955688554874e-02</v>
      </c>
      <c r="B17">
        <v>0.28509902197939363</v>
      </c>
      <c r="C17">
        <v>1.9235426427811617e-03</v>
      </c>
    </row>
    <row r="18">
      <c r="A18">
        <v>1.6837933463631751</v>
      </c>
      <c r="B18">
        <v>0.57137859266675095</v>
      </c>
      <c r="C18">
        <v>1.7465680978124012</v>
      </c>
    </row>
    <row r="19">
      <c r="A19">
        <v>-0.61077144818691853</v>
      </c>
      <c r="B19">
        <v>0.22333590226063005</v>
      </c>
      <c r="C19">
        <v>-1.0631677605753751</v>
      </c>
    </row>
    <row r="20">
      <c r="A20">
        <v>1.2810446629007599</v>
      </c>
      <c r="B20">
        <v>0.32758098082923387</v>
      </c>
      <c r="C20">
        <v>1.2719837372609173</v>
      </c>
    </row>
    <row r="21">
      <c r="A21">
        <v>-0.92224582870659333</v>
      </c>
      <c r="B21">
        <v>8.4688853692339028e-02</v>
      </c>
      <c r="C21">
        <v>-1.2893344521031775</v>
      </c>
    </row>
    <row r="22">
      <c r="A22">
        <v>-0.57811003842058217</v>
      </c>
      <c r="B22">
        <v>-8.3990871330917441e-02</v>
      </c>
      <c r="C22">
        <v>-0.46442129908812896</v>
      </c>
    </row>
    <row r="23">
      <c r="A23" s="14">
        <v>0.76869728403468263</v>
      </c>
      <c r="B23" s="14">
        <v>-7.3103734742138604e-02</v>
      </c>
      <c r="C23" s="14">
        <v>0.97853137898300313</v>
      </c>
    </row>
    <row r="25">
      <c r="A25" s="15" t="s">
        <v>176</v>
      </c>
      <c r="B25" s="16">
        <f>COUNT(A4:A23)</f>
        <v>20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3" zoomScale="100" workbookViewId="0">
      <selection activeCell="T30" activeCellId="0" sqref="T30"/>
    </sheetView>
  </sheetViews>
  <sheetFormatPr defaultRowHeight="14.25"/>
  <cols>
    <col customWidth="1" min="1" max="1" width="8.4553569999999993"/>
    <col customWidth="1" min="2" max="3" width="9.7232140000000005"/>
    <col customWidth="1" min="4" max="4" width="6.6339290000000002"/>
    <col customWidth="1" min="5" max="5" width="5.2678570000000002"/>
  </cols>
  <sheetData>
    <row r="1">
      <c r="A1" s="1" t="s">
        <v>18</v>
      </c>
      <c r="P1" t="s">
        <v>177</v>
      </c>
    </row>
    <row r="3">
      <c r="A3" s="4" t="s">
        <v>173</v>
      </c>
      <c r="B3" s="4" t="s">
        <v>174</v>
      </c>
      <c r="C3" s="4" t="s">
        <v>175</v>
      </c>
      <c r="D3" s="15"/>
      <c r="E3" s="4" t="s">
        <v>178</v>
      </c>
      <c r="F3" s="4" t="s">
        <v>179</v>
      </c>
      <c r="G3" s="4" t="s">
        <v>180</v>
      </c>
      <c r="H3" s="4" t="s">
        <v>181</v>
      </c>
      <c r="I3" s="4" t="s">
        <v>182</v>
      </c>
      <c r="J3" s="4" t="s">
        <v>183</v>
      </c>
      <c r="K3" s="4" t="s">
        <v>184</v>
      </c>
      <c r="M3" t="s">
        <v>18</v>
      </c>
      <c r="P3" t="s">
        <v>18</v>
      </c>
      <c r="T3" s="4" t="s">
        <v>182</v>
      </c>
    </row>
    <row r="4">
      <c r="A4">
        <v>1.2288378220245904</v>
      </c>
      <c r="B4">
        <v>0.90283699128653683</v>
      </c>
      <c r="C4">
        <v>0.89454343974205985</v>
      </c>
      <c r="D4" s="15"/>
      <c r="E4" s="15">
        <v>1</v>
      </c>
      <c r="F4">
        <f t="shared" ref="F4:F9" si="0">A4-B4</f>
        <v>0.32600083073805303</v>
      </c>
      <c r="G4">
        <f t="shared" ref="G4:G9" si="1">A4-C4</f>
        <v>0.33429438228253</v>
      </c>
      <c r="H4">
        <f t="shared" ref="H4:H9" si="2">F4^2-G4^2</f>
        <v>-5.4761923837569988e-03</v>
      </c>
      <c r="I4">
        <f t="array" ref="I4" ca="1">SUMPRODUCT(H5:H$23-H$25,OFFSET(H$4:H$23,0,0,E$23-E4)-H$25)/E$23</f>
        <v>0.12014277894971419</v>
      </c>
      <c r="J4">
        <f>SQRT(K25/E23)</f>
        <v>0.16627481505030001</v>
      </c>
      <c r="K4">
        <f t="shared" ref="K4:K9" si="3">H$25/J4</f>
        <v>1.58345369258607</v>
      </c>
      <c r="T4" t="e">
        <v>#NAME?</v>
      </c>
    </row>
    <row r="5">
      <c r="A5">
        <v>2.6684005524939503</v>
      </c>
      <c r="B5">
        <v>2.4492677875172286</v>
      </c>
      <c r="C5">
        <v>2.3213520553880973</v>
      </c>
      <c r="D5" s="15"/>
      <c r="E5" s="15">
        <f t="shared" ref="E5:E10" si="4">E4+1</f>
        <v>2</v>
      </c>
      <c r="F5">
        <f t="shared" si="0"/>
        <v>0.21913276497671999</v>
      </c>
      <c r="G5">
        <f t="shared" si="1"/>
        <v>0.34704849710585001</v>
      </c>
      <c r="H5">
        <f t="shared" si="2"/>
        <v>-7.2423490657087003e-02</v>
      </c>
      <c r="I5">
        <f t="array" ref="I5" ca="1">SUMPRODUCT(H6:H$23-H$25,OFFSET(H$4:H$23,0,0,E$23-E5)-H$25)/E$23</f>
        <v>0.26078225683487</v>
      </c>
      <c r="J5">
        <f t="shared" ref="J5:J10" si="5">SQRT((K$25+2*SUMPRODUCT(I$4:I4))/E$23)</f>
        <v>0.19915218305352009</v>
      </c>
      <c r="K5">
        <f t="shared" si="3"/>
        <v>1.3220466170069898</v>
      </c>
      <c r="M5" t="s">
        <v>185</v>
      </c>
      <c r="P5" t="s">
        <v>186</v>
      </c>
      <c r="Q5" s="7">
        <v>0</v>
      </c>
      <c r="T5" t="e">
        <v>#NAME?</v>
      </c>
    </row>
    <row r="6">
      <c r="A6">
        <v>3.417728063820773</v>
      </c>
      <c r="B6">
        <v>3.20755808146358</v>
      </c>
      <c r="C6">
        <v>2.5208157426997531</v>
      </c>
      <c r="D6" s="15"/>
      <c r="E6" s="15">
        <f t="shared" si="4"/>
        <v>3</v>
      </c>
      <c r="F6">
        <f t="shared" si="0"/>
        <v>0.21016998235719</v>
      </c>
      <c r="G6">
        <f t="shared" si="1"/>
        <v>0.89691232112102015</v>
      </c>
      <c r="H6">
        <f t="shared" si="2"/>
        <v>-0.76028029029467403</v>
      </c>
      <c r="I6">
        <f t="array" ref="I6" ca="1">SUMPRODUCT(H7:H$23-H$25,OFFSET(H$4:H$23,0,0,E$23-E6)-H$25)/E$23</f>
        <v>2.8657537766447562e-02</v>
      </c>
      <c r="J6">
        <f t="shared" si="5"/>
        <v>0.25639777241323641</v>
      </c>
      <c r="K6">
        <f t="shared" si="3"/>
        <v>1.026875028583013</v>
      </c>
      <c r="M6" t="s">
        <v>187</v>
      </c>
      <c r="N6">
        <v>4</v>
      </c>
      <c r="P6" t="s">
        <v>187</v>
      </c>
      <c r="Q6" s="13">
        <v>4</v>
      </c>
      <c r="T6" t="e">
        <v>#NAME?</v>
      </c>
    </row>
    <row r="7">
      <c r="A7">
        <v>2.2391971568137401</v>
      </c>
      <c r="B7">
        <v>2.4383221461131046</v>
      </c>
      <c r="C7">
        <v>1.9080749545417497</v>
      </c>
      <c r="D7" s="15"/>
      <c r="E7" s="15">
        <f t="shared" si="4"/>
        <v>4</v>
      </c>
      <c r="F7">
        <f t="shared" si="0"/>
        <v>-0.19912498929937</v>
      </c>
      <c r="G7">
        <f t="shared" si="1"/>
        <v>0.33112220227199002</v>
      </c>
      <c r="H7">
        <f t="shared" si="2"/>
        <v>-6.9991151473978996e-02</v>
      </c>
      <c r="I7">
        <f t="array" ref="I7" ca="1">SUMPRODUCT(H8:H$23-H$25,OFFSET(H$4:H$23,0,0,E$23-E7)-H$25)/E$23</f>
        <v>0.15920507095055189</v>
      </c>
      <c r="J7">
        <f t="shared" si="5"/>
        <v>0.26192665285364625</v>
      </c>
      <c r="K7">
        <f t="shared" si="3"/>
        <v>1.0051992304218758</v>
      </c>
      <c r="T7" t="e">
        <v>#NAME?</v>
      </c>
    </row>
    <row r="8">
      <c r="A8">
        <v>2.1225599146000729</v>
      </c>
      <c r="B8">
        <v>2.7751085910428208</v>
      </c>
      <c r="C8">
        <v>0.95078208307608991</v>
      </c>
      <c r="D8" s="15"/>
      <c r="E8" s="15">
        <f t="shared" si="4"/>
        <v>5</v>
      </c>
      <c r="F8">
        <f t="shared" si="0"/>
        <v>-0.65254867644275005</v>
      </c>
      <c r="G8">
        <f t="shared" si="1"/>
        <v>1.17177783152398</v>
      </c>
      <c r="H8">
        <f t="shared" si="2"/>
        <v>-0.94724351132385498</v>
      </c>
      <c r="I8">
        <f t="array" ref="I8" ca="1">SUMPRODUCT(H9:H$23-H$25,OFFSET(H$4:H$23,0,0,E$23-E8)-H$25)/E$23</f>
        <v>5.5601268771484413e-02</v>
      </c>
      <c r="J8">
        <f t="shared" si="5"/>
        <v>0.29073369011892952</v>
      </c>
      <c r="K8">
        <f t="shared" si="3"/>
        <v>0.90560013793984595</v>
      </c>
      <c r="M8" t="s">
        <v>188</v>
      </c>
      <c r="N8" s="7">
        <f>K7</f>
        <v>1.0051992304218758</v>
      </c>
      <c r="P8" t="s">
        <v>188</v>
      </c>
      <c r="Q8" s="7" t="e">
        <v>#NAME?</v>
      </c>
      <c r="T8" t="e">
        <v>#NAME?</v>
      </c>
    </row>
    <row r="9">
      <c r="A9">
        <v>0.46379871540949502</v>
      </c>
      <c r="B9">
        <v>0.59316171174485999</v>
      </c>
      <c r="C9">
        <v>-0.61066482988763893</v>
      </c>
      <c r="D9" s="15"/>
      <c r="E9" s="15">
        <f t="shared" si="4"/>
        <v>6</v>
      </c>
      <c r="F9">
        <f t="shared" si="0"/>
        <v>-0.12936299633536499</v>
      </c>
      <c r="G9">
        <f t="shared" si="1"/>
        <v>1.0744635452971301</v>
      </c>
      <c r="H9">
        <f t="shared" si="2"/>
        <v>-1.13773712535162</v>
      </c>
      <c r="I9">
        <f t="array" ref="I9" ca="1">SUMPRODUCT(H10:H$23-H$25,OFFSET(H$4:H$23,0,0,E$23-E9)-H$25)/E$23</f>
        <v>-3.9052711357371443e-03</v>
      </c>
      <c r="J9">
        <f t="shared" si="5"/>
        <v>0.3001436413574643</v>
      </c>
      <c r="K9">
        <f t="shared" si="3"/>
        <v>0.87720822165242007</v>
      </c>
      <c r="M9" t="s">
        <v>189</v>
      </c>
      <c r="N9" s="13">
        <f>2*(1-NORMSDIST(N8))</f>
        <v>0.31480092568112328</v>
      </c>
      <c r="P9" t="s">
        <v>189</v>
      </c>
      <c r="Q9" s="13" t="e">
        <v>#NAME?</v>
      </c>
      <c r="T9" t="e">
        <v>#NAME?</v>
      </c>
    </row>
    <row r="10">
      <c r="A10">
        <v>-0.55080545418476379</v>
      </c>
      <c r="B10">
        <v>0.10851859560777</v>
      </c>
      <c r="C10">
        <v>-1.1154503364189119</v>
      </c>
      <c r="D10" s="15"/>
      <c r="E10" s="15">
        <f t="shared" si="4"/>
        <v>7</v>
      </c>
      <c r="F10">
        <f t="shared" ref="F10:F23" si="6">A10-B10</f>
        <v>-0.65932404979253401</v>
      </c>
      <c r="G10">
        <f t="shared" ref="G10:G23" si="7">A10-C10</f>
        <v>0.56464488223414599</v>
      </c>
      <c r="H10">
        <f t="shared" ref="H10:H23" si="8">F10^2-G10^2</f>
        <v>0.115884359601615</v>
      </c>
      <c r="I10">
        <f t="array" ref="I10" ca="1">SUMPRODUCT(H11:H$23-H$25,OFFSET(H$4:H$23,0,0,E$23-E10)-H$25)/E$23</f>
        <v>-7.0305969189309286e-02</v>
      </c>
      <c r="J10">
        <f t="shared" si="5"/>
        <v>0.29949236773871962</v>
      </c>
      <c r="K10">
        <f t="shared" ref="K10:K22" si="9">H$25/J10</f>
        <v>0.87911579137522033</v>
      </c>
      <c r="T10" t="e">
        <v>#NAME?</v>
      </c>
    </row>
    <row r="11">
      <c r="A11">
        <v>1.182946247108128</v>
      </c>
      <c r="B11">
        <v>0.87851772527493499</v>
      </c>
      <c r="C11">
        <v>1.1116308674749249</v>
      </c>
      <c r="D11" s="15"/>
      <c r="E11" s="15">
        <f t="shared" ref="E11:E23" si="10">E10+1</f>
        <v>8</v>
      </c>
      <c r="F11">
        <f t="shared" si="6"/>
        <v>0.30442852183319502</v>
      </c>
      <c r="G11">
        <f t="shared" si="7"/>
        <v>7.1315379633200005e-02</v>
      </c>
      <c r="H11">
        <f t="shared" si="8"/>
        <v>8.759084153331699e-02</v>
      </c>
      <c r="I11">
        <f t="array" ref="I11" ca="1">SUMPRODUCT(H12:H$23-H$25,OFFSET(H$4:H$23,0,0,E$23-E11)-H$25)/E$23</f>
        <v>-8.6046340130695467e-02</v>
      </c>
      <c r="J11">
        <f t="shared" ref="J11:J22" si="11">SQRT((K$25+2*SUMPRODUCT(I$4:I10))/E$23)</f>
        <v>0.2875153585720483</v>
      </c>
      <c r="K11">
        <f t="shared" si="9"/>
        <v>0.91573706247586673</v>
      </c>
      <c r="M11" t="s">
        <v>20</v>
      </c>
      <c r="P11" t="s">
        <v>20</v>
      </c>
      <c r="T11" t="e">
        <v>#NAME?</v>
      </c>
    </row>
    <row r="12">
      <c r="A12">
        <v>-2.4132987150346596</v>
      </c>
      <c r="B12">
        <v>-1.16531316944428</v>
      </c>
      <c r="C12">
        <v>-2.7776482160325666</v>
      </c>
      <c r="D12" s="15"/>
      <c r="E12" s="15">
        <f t="shared" si="10"/>
        <v>9</v>
      </c>
      <c r="F12">
        <f t="shared" si="6"/>
        <v>-1.2479855455903801</v>
      </c>
      <c r="G12">
        <f t="shared" si="7"/>
        <v>0.36434950099791003</v>
      </c>
      <c r="H12">
        <f t="shared" si="8"/>
        <v>1.42471736312509</v>
      </c>
      <c r="I12">
        <f t="array" ref="I12" ca="1">SUMPRODUCT(H13:H$23-H$25,OFFSET(H$4:H$23,0,0,E$23-E12)-H$25)/E$23</f>
        <v>-4.0419389183465673e-02</v>
      </c>
      <c r="J12">
        <f t="shared" si="11"/>
        <v>0.27214049202892238</v>
      </c>
      <c r="K12">
        <f t="shared" si="9"/>
        <v>0.967472601789378</v>
      </c>
      <c r="T12" t="e">
        <v>#NAME?</v>
      </c>
    </row>
    <row r="13">
      <c r="A13">
        <v>0.97947060944543229</v>
      </c>
      <c r="B13">
        <v>0.59371930737043199</v>
      </c>
      <c r="C13">
        <v>1.5172799903636889</v>
      </c>
      <c r="D13" s="15"/>
      <c r="E13" s="15">
        <f t="shared" si="10"/>
        <v>10</v>
      </c>
      <c r="F13">
        <f t="shared" si="6"/>
        <v>0.38575130207500002</v>
      </c>
      <c r="G13">
        <f t="shared" si="7"/>
        <v>-0.53780938091825803</v>
      </c>
      <c r="H13">
        <f t="shared" si="8"/>
        <v>-0.140434863151122</v>
      </c>
      <c r="I13">
        <f t="array" ref="I13" ca="1">SUMPRODUCT(H14:H$23-H$25,OFFSET(H$4:H$23,0,0,E$23-E13)-H$25)/E$23</f>
        <v>-0.17312196508299696</v>
      </c>
      <c r="J13">
        <f t="shared" si="11"/>
        <v>0.26461010654054279</v>
      </c>
      <c r="K13">
        <f t="shared" si="9"/>
        <v>0.99500534321096579</v>
      </c>
      <c r="M13" t="s">
        <v>190</v>
      </c>
      <c r="N13" s="7">
        <f>N8*SQRT((E23+1-2*N6+N6*(N6-1))/E23)</f>
        <v>1.1238469050768944</v>
      </c>
      <c r="P13" t="s">
        <v>190</v>
      </c>
      <c r="Q13" s="7" t="e">
        <v>#NAME?</v>
      </c>
      <c r="T13" t="e">
        <v>#NAME?</v>
      </c>
    </row>
    <row r="14">
      <c r="A14">
        <v>0.55088233224937033</v>
      </c>
      <c r="B14">
        <v>-3.6272861603665997e-03</v>
      </c>
      <c r="C14">
        <v>0.48976791274636922</v>
      </c>
      <c r="D14" s="15"/>
      <c r="E14" s="15">
        <f t="shared" si="10"/>
        <v>11</v>
      </c>
      <c r="F14">
        <f t="shared" si="6"/>
        <v>0.554509618409737</v>
      </c>
      <c r="G14">
        <f t="shared" si="7"/>
        <v>6.1114419503000991e-02</v>
      </c>
      <c r="H14">
        <f t="shared" si="8"/>
        <v>0.30374594463772298</v>
      </c>
      <c r="I14">
        <f t="array" ref="I14" ca="1">SUMPRODUCT(H15:H$23-H$25,OFFSET(H$4:H$23,0,0,E$23-E14)-H$25)/E$23</f>
        <v>-7.3748485860664154e-02</v>
      </c>
      <c r="J14">
        <f t="shared" si="11"/>
        <v>0.22957855295104923</v>
      </c>
      <c r="K14">
        <f t="shared" si="9"/>
        <v>1.1468339114917299</v>
      </c>
      <c r="M14" t="s">
        <v>189</v>
      </c>
      <c r="N14" s="13">
        <f>TDIST(N13,E23-1,2)</f>
        <v>0.27507738636146323</v>
      </c>
      <c r="P14" t="s">
        <v>189</v>
      </c>
      <c r="Q14" s="13" t="e">
        <v>#NAME?</v>
      </c>
      <c r="T14" t="e">
        <v>#NAME?</v>
      </c>
    </row>
    <row r="15">
      <c r="A15">
        <v>1.2279214175815407</v>
      </c>
      <c r="B15">
        <v>0.994315257779952</v>
      </c>
      <c r="C15">
        <v>1.0470020473746879</v>
      </c>
      <c r="D15" s="15"/>
      <c r="E15" s="15">
        <f t="shared" si="10"/>
        <v>12</v>
      </c>
      <c r="F15">
        <f t="shared" si="6"/>
        <v>0.233606159801588</v>
      </c>
      <c r="G15">
        <f t="shared" si="7"/>
        <v>0.18091937020685001</v>
      </c>
      <c r="H15">
        <f t="shared" si="8"/>
        <v>2.1840019381201999e-02</v>
      </c>
      <c r="I15">
        <f t="array" ref="I15" ca="1">SUMPRODUCT(H16:H$23-H$25,OFFSET(H$4:H$23,0,0,E$23-E15)-H$25)/E$23</f>
        <v>-0.15882541817007728</v>
      </c>
      <c r="J15">
        <f t="shared" si="11"/>
        <v>0.2129118676566229</v>
      </c>
      <c r="K15">
        <f t="shared" si="9"/>
        <v>1.2366077700285163</v>
      </c>
      <c r="T15" t="e">
        <v>#NAME?</v>
      </c>
    </row>
    <row r="16">
      <c r="A16">
        <v>-0.92350668389272994</v>
      </c>
      <c r="B16">
        <v>0.51942478642544798</v>
      </c>
      <c r="C16">
        <v>-1.344791792233285</v>
      </c>
      <c r="D16" s="15"/>
      <c r="E16" s="15">
        <f t="shared" si="10"/>
        <v>13</v>
      </c>
      <c r="F16">
        <f t="shared" si="6"/>
        <v>-1.4429314703181799</v>
      </c>
      <c r="G16">
        <f t="shared" si="7"/>
        <v>0.42128510834055993</v>
      </c>
      <c r="H16">
        <f t="shared" si="8"/>
        <v>1.90457008552506</v>
      </c>
      <c r="I16">
        <f t="array" ref="I16" ca="1">SUMPRODUCT(H17:H$23-H$25,OFFSET(H$4:H$23,0,0,E$23-E16)-H$25)/E$23</f>
        <v>-7.493386871437091e-02</v>
      </c>
      <c r="J16">
        <f t="shared" si="11"/>
        <v>0.1716068808994079</v>
      </c>
      <c r="K16">
        <f t="shared" si="9"/>
        <v>1.5342535712760654</v>
      </c>
      <c r="T16" t="e">
        <v>#NAME?</v>
      </c>
    </row>
    <row r="17">
      <c r="A17">
        <v>-9.0278955688554874e-02</v>
      </c>
      <c r="B17">
        <v>0.28509902197939363</v>
      </c>
      <c r="C17">
        <v>1.9235426427811617e-03</v>
      </c>
      <c r="D17" s="15"/>
      <c r="E17" s="15">
        <f t="shared" si="10"/>
        <v>14</v>
      </c>
      <c r="F17">
        <f t="shared" si="6"/>
        <v>-0.375377977667949</v>
      </c>
      <c r="G17">
        <f t="shared" si="7"/>
        <v>-9.220249833133598e-02</v>
      </c>
      <c r="H17">
        <f t="shared" si="8"/>
        <v>0.13240732541953901</v>
      </c>
      <c r="I17">
        <f t="array" ref="I17" ca="1">SUMPRODUCT(H18:H$23-H$25,OFFSET(H$4:H$23,0,0,E$23-E17)-H$25)/E$23</f>
        <v>-8.6343578910106245e-02</v>
      </c>
      <c r="J17">
        <f t="shared" si="11"/>
        <v>0.14817400143272935</v>
      </c>
      <c r="K17">
        <f t="shared" si="9"/>
        <v>1.7768870876784371</v>
      </c>
      <c r="T17" t="e">
        <v>#NAME?</v>
      </c>
    </row>
    <row r="18">
      <c r="A18">
        <v>1.6837933463631751</v>
      </c>
      <c r="B18">
        <v>0.57137859266675095</v>
      </c>
      <c r="C18">
        <v>1.7465680978124012</v>
      </c>
      <c r="D18" s="15"/>
      <c r="E18" s="15">
        <f t="shared" si="10"/>
        <v>15</v>
      </c>
      <c r="F18">
        <f t="shared" si="6"/>
        <v>1.1124147536964299</v>
      </c>
      <c r="G18">
        <f t="shared" si="7"/>
        <v>-6.2774751449220012e-02</v>
      </c>
      <c r="H18">
        <f t="shared" si="8"/>
        <v>1.2335259148219799</v>
      </c>
      <c r="I18">
        <f t="array" ref="I18" ca="1">SUMPRODUCT(H19:H$23-H$25,OFFSET(H$4:H$23,0,0,E$23-E18)-H$25)/E$23</f>
        <v>-6.9175063824153671e-02</v>
      </c>
      <c r="J18">
        <f t="shared" si="11"/>
        <v>0.11541740254214637</v>
      </c>
      <c r="K18">
        <f t="shared" si="9"/>
        <v>2.2811851945751362</v>
      </c>
      <c r="T18" t="e">
        <v>#NAME?</v>
      </c>
    </row>
    <row r="19">
      <c r="A19">
        <v>-0.61077144818691853</v>
      </c>
      <c r="B19">
        <v>0.22333590226063005</v>
      </c>
      <c r="C19">
        <v>-1.0631677605753751</v>
      </c>
      <c r="D19" s="15"/>
      <c r="E19" s="15">
        <f t="shared" si="10"/>
        <v>16</v>
      </c>
      <c r="F19">
        <f t="shared" si="6"/>
        <v>-0.83410735044754902</v>
      </c>
      <c r="G19">
        <f t="shared" si="7"/>
        <v>0.45239631238846101</v>
      </c>
      <c r="H19">
        <f t="shared" si="8"/>
        <v>0.49107264860795202</v>
      </c>
      <c r="I19">
        <f t="array" ref="I19" ca="1">SUMPRODUCT(H20:H$23-H$25,OFFSET(H$4:H$23,0,0,E$23-E19)-H$25)/E$23</f>
        <v>-2.4061849003389205e-02</v>
      </c>
      <c r="J19">
        <f t="shared" si="11"/>
        <v>8.0022936881624679e-02</v>
      </c>
      <c r="K19">
        <f t="shared" si="9"/>
        <v>3.2901625475822893</v>
      </c>
      <c r="T19" t="e">
        <v>#NAME?</v>
      </c>
    </row>
    <row r="20">
      <c r="A20">
        <v>1.2810446629007599</v>
      </c>
      <c r="B20">
        <v>0.32758098082923387</v>
      </c>
      <c r="C20">
        <v>1.2719837372609173</v>
      </c>
      <c r="D20" s="15"/>
      <c r="E20" s="15">
        <f t="shared" si="10"/>
        <v>17</v>
      </c>
      <c r="F20">
        <f t="shared" si="6"/>
        <v>0.95346368207152599</v>
      </c>
      <c r="G20">
        <f t="shared" si="7"/>
        <v>9.0609256398399996e-03</v>
      </c>
      <c r="H20">
        <f t="shared" si="8"/>
        <v>0.90901089265594093</v>
      </c>
      <c r="I20">
        <f t="array" ref="I20" ca="1">SUMPRODUCT(H21:H$23-H$25,OFFSET(H$4:H$23,0,0,E$23-E20)-H$25)/E$23</f>
        <v>-2.827655313619163e-02</v>
      </c>
      <c r="J20">
        <f t="shared" si="11"/>
        <v>6.3225671422465476e-02</v>
      </c>
      <c r="K20">
        <f t="shared" si="9"/>
        <v>4.1642653047716118</v>
      </c>
      <c r="T20" t="e">
        <v>#NAME?</v>
      </c>
    </row>
    <row r="21">
      <c r="A21">
        <v>-0.92224582870659333</v>
      </c>
      <c r="B21">
        <v>8.4688853692339028e-02</v>
      </c>
      <c r="C21">
        <v>-1.2893344521031775</v>
      </c>
      <c r="D21" s="15"/>
      <c r="E21" s="15">
        <f t="shared" si="10"/>
        <v>18</v>
      </c>
      <c r="F21">
        <f t="shared" si="6"/>
        <v>-1.00693468239893</v>
      </c>
      <c r="G21">
        <f t="shared" si="7"/>
        <v>0.36708862339658599</v>
      </c>
      <c r="H21">
        <f t="shared" si="8"/>
        <v>0.87916339719062897</v>
      </c>
      <c r="I21">
        <f t="array" ref="I21" ca="1">SUMPRODUCT(H22:H$23-H$25,OFFSET(H$4:H$23,0,0,E$23-E21)-H$25)/E$23</f>
        <v>-6.3054029478527814e-03</v>
      </c>
      <c r="J21">
        <f t="shared" si="11"/>
        <v>3.4202780781720149e-02</v>
      </c>
      <c r="K21">
        <f t="shared" si="9"/>
        <v>7.6978673621818166</v>
      </c>
      <c r="T21" t="e">
        <v>#NAME?</v>
      </c>
    </row>
    <row r="22">
      <c r="A22">
        <v>-0.57811003842058217</v>
      </c>
      <c r="B22">
        <v>-8.3990871330917441e-02</v>
      </c>
      <c r="C22">
        <v>-0.46442129908812896</v>
      </c>
      <c r="D22" s="15"/>
      <c r="E22" s="15">
        <f t="shared" si="10"/>
        <v>19</v>
      </c>
      <c r="F22">
        <f t="shared" si="6"/>
        <v>-0.49411916708966502</v>
      </c>
      <c r="G22">
        <f t="shared" si="7"/>
        <v>-0.11368873933245301</v>
      </c>
      <c r="H22">
        <f t="shared" si="8"/>
        <v>0.23122862183438203</v>
      </c>
      <c r="I22">
        <f t="array" ref="I22" ca="1">SUMPRODUCT(H23:H$23-H$25,OFFSET(H$4:H$23,0,0,E$23-E22)-H$25)/E$23</f>
        <v>-5.3928991841711372e-03</v>
      </c>
      <c r="J22">
        <f t="shared" si="11"/>
        <v>2.3222616528228029e-02</v>
      </c>
      <c r="K22">
        <f t="shared" si="9"/>
        <v>11.337588490746736</v>
      </c>
      <c r="T22" t="e">
        <v>#NAME?</v>
      </c>
    </row>
    <row r="23">
      <c r="A23" s="14">
        <v>0.76869728403468263</v>
      </c>
      <c r="B23" s="14">
        <v>-7.3103734742138604e-02</v>
      </c>
      <c r="C23" s="14">
        <v>0.97853137898300313</v>
      </c>
      <c r="D23" s="15"/>
      <c r="E23" s="17">
        <f t="shared" si="10"/>
        <v>20</v>
      </c>
      <c r="F23" s="14">
        <f t="shared" si="6"/>
        <v>0.8418010187768219</v>
      </c>
      <c r="G23" s="14">
        <f t="shared" si="7"/>
        <v>-0.20983409494832</v>
      </c>
      <c r="H23" s="14">
        <f t="shared" si="8"/>
        <v>0.66459860781091495</v>
      </c>
      <c r="I23" s="14"/>
      <c r="J23" s="14"/>
      <c r="K23" s="14"/>
      <c r="T23" s="14"/>
    </row>
    <row r="25">
      <c r="A25" s="15" t="s">
        <v>176</v>
      </c>
      <c r="B25" s="16">
        <f>COUNT(A4:A23)</f>
        <v>20</v>
      </c>
      <c r="G25" s="15" t="s">
        <v>191</v>
      </c>
      <c r="H25" s="18">
        <f>AVERAGE(H4:H23)</f>
        <v>0.263288469875463</v>
      </c>
      <c r="J25" s="15" t="s">
        <v>192</v>
      </c>
      <c r="K25" s="18">
        <f>VARP(H4:H23)</f>
        <v>0.55294628240022703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8.4553569999999993"/>
    <col customWidth="1" min="3" max="3" width="3.5446430000000002"/>
    <col customWidth="1" min="4" max="4" width="8.2678569999999993"/>
    <col customWidth="1" min="5" max="5" width="9.1785709999999998"/>
    <col customWidth="1" min="6" max="6" width="2.723214"/>
    <col customWidth="1" min="7" max="7" width="80.544642999999994"/>
  </cols>
  <sheetData>
    <row r="1">
      <c r="A1" s="1" t="s">
        <v>21</v>
      </c>
    </row>
    <row r="3">
      <c r="A3" s="4" t="s">
        <v>173</v>
      </c>
      <c r="B3" s="4" t="s">
        <v>193</v>
      </c>
      <c r="D3" s="19" t="s">
        <v>194</v>
      </c>
      <c r="E3" s="7">
        <f>COUNT(A4:A18)</f>
        <v>15</v>
      </c>
      <c r="G3" t="e">
        <v>#NAME?</v>
      </c>
    </row>
    <row r="4">
      <c r="A4" s="15">
        <v>23</v>
      </c>
      <c r="B4" s="15">
        <v>14</v>
      </c>
      <c r="D4" s="19" t="s">
        <v>195</v>
      </c>
      <c r="E4" s="10">
        <f>(_xlfn.COUNTIFS(A4:A18,"&gt;0",B4:B18,"&gt;0")+_xlfn.COUNTIFS(A4:A18,"&lt;0",B4:B18,"&lt;0"))/E3</f>
        <v>0.73333333333333295</v>
      </c>
      <c r="G4" t="e">
        <v>#NAME?</v>
      </c>
    </row>
    <row r="5">
      <c r="A5" s="15">
        <v>-2</v>
      </c>
      <c r="B5" s="15">
        <v>3</v>
      </c>
      <c r="D5" s="19" t="s">
        <v>196</v>
      </c>
      <c r="E5" s="10">
        <f>COUNTIF(A4:A18,"&gt;0")/E3</f>
        <v>0.46666666666666695</v>
      </c>
      <c r="G5" t="e">
        <v>#NAME?</v>
      </c>
    </row>
    <row r="6">
      <c r="A6" s="15">
        <v>56</v>
      </c>
      <c r="B6" s="15">
        <v>45</v>
      </c>
      <c r="D6" s="19" t="s">
        <v>197</v>
      </c>
      <c r="E6" s="10">
        <f>COUNTIF(B4:B18,"&gt;0")/E3</f>
        <v>0.59999999999999998</v>
      </c>
      <c r="G6" t="e">
        <v>#NAME?</v>
      </c>
    </row>
    <row r="7">
      <c r="A7" s="15">
        <v>51</v>
      </c>
      <c r="B7" s="15">
        <v>23</v>
      </c>
      <c r="D7" s="19" t="s">
        <v>198</v>
      </c>
      <c r="E7" s="10">
        <f>(E6*E5)+((1-E6)*(1-E5))</f>
        <v>0.49333333333333301</v>
      </c>
      <c r="G7" t="e">
        <v>#NAME?</v>
      </c>
    </row>
    <row r="8">
      <c r="A8" s="15">
        <v>4</v>
      </c>
      <c r="B8" s="15">
        <v>-5</v>
      </c>
      <c r="D8" s="19" t="s">
        <v>199</v>
      </c>
      <c r="E8" s="10">
        <f>E7*(1-E7)/E3</f>
        <v>1.6663703703704e-02</v>
      </c>
      <c r="G8" t="e">
        <v>#NAME?</v>
      </c>
    </row>
    <row r="9">
      <c r="A9" s="15">
        <v>-45</v>
      </c>
      <c r="B9" s="15">
        <v>-56</v>
      </c>
      <c r="D9" s="19" t="s">
        <v>200</v>
      </c>
      <c r="E9" s="13">
        <f>(((2*E6-1)^2*E5*(1-E5))/E3)+(((2*E5-1)^2*E6*(1-E6))/E3)+((4*E5*E6*(1-E5)*(1-E6))/(E3^2))</f>
        <v>1.7967407407409998e-03</v>
      </c>
      <c r="G9" t="e">
        <v>#NAME?</v>
      </c>
    </row>
    <row r="10">
      <c r="A10" s="15">
        <v>-12</v>
      </c>
      <c r="B10" s="15">
        <v>4</v>
      </c>
      <c r="D10" s="19"/>
    </row>
    <row r="11">
      <c r="A11" s="15">
        <v>-24</v>
      </c>
      <c r="B11" s="15">
        <v>-11</v>
      </c>
      <c r="D11" s="19" t="s">
        <v>201</v>
      </c>
      <c r="E11" s="7">
        <f>(E4-E7)/SQRT(E8-E9)</f>
        <v>1.96833997187934</v>
      </c>
      <c r="G11" t="e">
        <v>#NAME?</v>
      </c>
    </row>
    <row r="12">
      <c r="A12" s="15">
        <v>-51</v>
      </c>
      <c r="B12" s="15">
        <v>-34</v>
      </c>
      <c r="D12" s="19" t="s">
        <v>189</v>
      </c>
      <c r="E12" s="10">
        <f>1-NORMSDIST(E11)</f>
        <v>2.4514466850140998e-02</v>
      </c>
      <c r="G12" s="20" t="s">
        <v>202</v>
      </c>
    </row>
    <row r="13">
      <c r="A13" s="15">
        <v>78</v>
      </c>
      <c r="B13" s="15">
        <v>29</v>
      </c>
      <c r="D13" s="19" t="s">
        <v>203</v>
      </c>
      <c r="E13" s="10">
        <v>5.0000000000000003e-02</v>
      </c>
    </row>
    <row r="14">
      <c r="A14" s="15">
        <v>-6</v>
      </c>
      <c r="B14" s="15">
        <v>3</v>
      </c>
      <c r="D14" s="19" t="s">
        <v>204</v>
      </c>
      <c r="E14" s="21" t="str">
        <f>IF(E12&lt;E13,"yes","no")</f>
        <v>yes</v>
      </c>
      <c r="G14" t="e">
        <v>#NAME?</v>
      </c>
    </row>
    <row r="15">
      <c r="A15" s="15">
        <v>-7</v>
      </c>
      <c r="B15" s="15">
        <v>-11</v>
      </c>
    </row>
    <row r="16">
      <c r="A16" s="15">
        <v>-39</v>
      </c>
      <c r="B16" s="15">
        <v>-12</v>
      </c>
    </row>
    <row r="17">
      <c r="A17" s="15">
        <v>31</v>
      </c>
      <c r="B17" s="15">
        <v>24</v>
      </c>
    </row>
    <row r="18">
      <c r="A18" s="17">
        <v>35</v>
      </c>
      <c r="B18" s="17">
        <v>3</v>
      </c>
    </row>
    <row r="20">
      <c r="D20" s="19" t="s">
        <v>201</v>
      </c>
      <c r="E20" s="7" t="e">
        <v>#NAME?</v>
      </c>
    </row>
    <row r="21">
      <c r="D21" s="19" t="s">
        <v>189</v>
      </c>
      <c r="E21" s="13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6.2678570000000002"/>
    <col customWidth="1" min="14" max="16" width="6.8125"/>
  </cols>
  <sheetData>
    <row r="1">
      <c r="A1" s="1" t="s">
        <v>22</v>
      </c>
      <c r="Q1" t="s">
        <v>205</v>
      </c>
    </row>
    <row r="2"/>
    <row r="3">
      <c r="A3" s="4" t="s">
        <v>206</v>
      </c>
      <c r="B3" s="4" t="s">
        <v>207</v>
      </c>
      <c r="C3" s="4" t="s">
        <v>208</v>
      </c>
      <c r="D3" s="4" t="s">
        <v>209</v>
      </c>
      <c r="E3" s="4" t="s">
        <v>210</v>
      </c>
      <c r="N3" s="4" t="s">
        <v>206</v>
      </c>
      <c r="O3" s="4" t="s">
        <v>207</v>
      </c>
      <c r="P3" s="15"/>
      <c r="Q3" s="4" t="s">
        <v>208</v>
      </c>
      <c r="R3" s="4" t="s">
        <v>183</v>
      </c>
    </row>
    <row r="4">
      <c r="A4" s="15">
        <v>1</v>
      </c>
      <c r="B4" s="15">
        <v>3</v>
      </c>
      <c r="N4" s="15">
        <v>1</v>
      </c>
      <c r="O4" s="15">
        <v>3</v>
      </c>
      <c r="P4" s="15"/>
      <c r="Q4" t="e">
        <v>#N/A</v>
      </c>
      <c r="R4" t="e">
        <v>#N/A</v>
      </c>
    </row>
    <row r="5">
      <c r="A5" s="15">
        <f t="shared" ref="A5:A10" si="12">A4+1</f>
        <v>2</v>
      </c>
      <c r="B5" s="15">
        <v>5</v>
      </c>
      <c r="N5" s="15">
        <f t="shared" ref="N5:N10" si="13">N4+1</f>
        <v>2</v>
      </c>
      <c r="O5" s="15">
        <v>5</v>
      </c>
      <c r="P5" s="15"/>
      <c r="Q5" t="e">
        <v>#N/A</v>
      </c>
      <c r="R5" t="e">
        <v>#N/A</v>
      </c>
    </row>
    <row r="6">
      <c r="A6" s="15">
        <f t="shared" si="12"/>
        <v>3</v>
      </c>
      <c r="B6" s="15">
        <v>9</v>
      </c>
      <c r="N6" s="15">
        <f t="shared" si="13"/>
        <v>3</v>
      </c>
      <c r="O6" s="15">
        <v>9</v>
      </c>
      <c r="P6" s="15"/>
      <c r="Q6">
        <f t="shared" ref="Q6:Q9" si="14">AVERAGE(B4:B6)</f>
        <v>5.6666666666666696</v>
      </c>
      <c r="R6" t="e">
        <v>#N/A</v>
      </c>
    </row>
    <row r="7">
      <c r="A7" s="15">
        <f t="shared" si="12"/>
        <v>4</v>
      </c>
      <c r="B7" s="15">
        <v>20</v>
      </c>
      <c r="C7">
        <f t="shared" ref="C7:C10" si="15">AVERAGE(B4:B6)</f>
        <v>5.6666666666666696</v>
      </c>
      <c r="D7">
        <f t="shared" ref="D7:D9" si="16">ABS(B7-C7)</f>
        <v>14.3333333333333</v>
      </c>
      <c r="E7">
        <f t="shared" ref="E7:E9" si="17">(B7-C7)^2</f>
        <v>205.444444444444</v>
      </c>
      <c r="N7" s="15">
        <f t="shared" si="13"/>
        <v>4</v>
      </c>
      <c r="O7" s="15">
        <v>20</v>
      </c>
      <c r="P7" s="15"/>
      <c r="Q7">
        <f t="shared" si="14"/>
        <v>11.3333333333333</v>
      </c>
      <c r="R7" t="e">
        <v>#N/A</v>
      </c>
    </row>
    <row r="8">
      <c r="A8" s="15">
        <f t="shared" si="12"/>
        <v>5</v>
      </c>
      <c r="B8" s="15">
        <v>12</v>
      </c>
      <c r="C8">
        <f t="shared" si="15"/>
        <v>11.3333333333333</v>
      </c>
      <c r="D8">
        <f t="shared" si="16"/>
        <v>0.66666666666670005</v>
      </c>
      <c r="E8">
        <f t="shared" si="17"/>
        <v>0.44444444444448894</v>
      </c>
      <c r="N8" s="15">
        <f t="shared" si="13"/>
        <v>5</v>
      </c>
      <c r="O8" s="15">
        <v>12</v>
      </c>
      <c r="P8" s="15"/>
      <c r="Q8">
        <f t="shared" si="14"/>
        <v>13.6666666666667</v>
      </c>
      <c r="R8">
        <f t="shared" ref="R8:R9" si="18">SQRT(SUMXMY2(B6:B8,Q6:Q8)/3)</f>
        <v>5.4467115461227502</v>
      </c>
    </row>
    <row r="9">
      <c r="A9" s="15">
        <f t="shared" si="12"/>
        <v>6</v>
      </c>
      <c r="B9" s="15">
        <v>17</v>
      </c>
      <c r="C9">
        <f t="shared" si="15"/>
        <v>13.6666666666667</v>
      </c>
      <c r="D9">
        <f t="shared" si="16"/>
        <v>3.3333333333333002</v>
      </c>
      <c r="E9">
        <f t="shared" si="17"/>
        <v>11.111111111110899</v>
      </c>
      <c r="N9" s="15">
        <f t="shared" si="13"/>
        <v>6</v>
      </c>
      <c r="O9" s="15">
        <v>17</v>
      </c>
      <c r="P9" s="15"/>
      <c r="Q9">
        <f t="shared" si="14"/>
        <v>16.3333333333333</v>
      </c>
      <c r="R9">
        <f t="shared" si="18"/>
        <v>5.1099032389186601</v>
      </c>
    </row>
    <row r="10">
      <c r="A10" s="15">
        <f t="shared" si="12"/>
        <v>7</v>
      </c>
      <c r="B10" s="15">
        <v>22</v>
      </c>
      <c r="C10">
        <f t="shared" si="15"/>
        <v>16.3333333333333</v>
      </c>
      <c r="D10">
        <f t="shared" ref="D10:D18" si="19">ABS(B10-C10)</f>
        <v>5.6666666666666998</v>
      </c>
      <c r="E10">
        <f t="shared" ref="E10:E18" si="20">(B10-C10)^2</f>
        <v>32.111111111111498</v>
      </c>
      <c r="N10" s="15">
        <f t="shared" si="13"/>
        <v>7</v>
      </c>
      <c r="O10" s="15">
        <v>22</v>
      </c>
      <c r="P10" s="15"/>
      <c r="Q10">
        <f t="shared" ref="Q10:Q11" si="21">AVERAGE(B8:B10)</f>
        <v>17</v>
      </c>
      <c r="R10">
        <f t="shared" ref="R10:R11" si="22">SQRT(SUMXMY2(B8:B10,Q8:Q10)/3)</f>
        <v>3.0671497204093998</v>
      </c>
    </row>
    <row r="11">
      <c r="A11" s="15">
        <f t="shared" ref="A11:A18" si="23">A10+1</f>
        <v>8</v>
      </c>
      <c r="B11" s="15">
        <v>23</v>
      </c>
      <c r="C11">
        <f t="shared" ref="C11:C12" si="24">AVERAGE(B8:B10)</f>
        <v>17</v>
      </c>
      <c r="D11">
        <f t="shared" si="19"/>
        <v>6</v>
      </c>
      <c r="E11">
        <f t="shared" si="20"/>
        <v>36</v>
      </c>
      <c r="N11" s="15">
        <f t="shared" ref="N11:N18" si="25">N10+1</f>
        <v>8</v>
      </c>
      <c r="O11" s="15">
        <v>23</v>
      </c>
      <c r="P11" s="15"/>
      <c r="Q11">
        <f t="shared" si="21"/>
        <v>20.6666666666667</v>
      </c>
      <c r="R11">
        <f t="shared" si="22"/>
        <v>3.2087842395985899</v>
      </c>
    </row>
    <row r="12">
      <c r="A12" s="15">
        <f t="shared" si="23"/>
        <v>9</v>
      </c>
      <c r="B12" s="15">
        <v>51</v>
      </c>
      <c r="C12">
        <f t="shared" si="24"/>
        <v>20.6666666666667</v>
      </c>
      <c r="D12">
        <f t="shared" si="19"/>
        <v>30.3333333333333</v>
      </c>
      <c r="E12">
        <f t="shared" si="20"/>
        <v>920.11111111110904</v>
      </c>
      <c r="N12" s="15">
        <f t="shared" si="25"/>
        <v>9</v>
      </c>
      <c r="O12" s="15">
        <v>51</v>
      </c>
      <c r="P12" s="15"/>
      <c r="Q12">
        <f t="shared" ref="Q12:Q18" si="26">AVERAGE(B10:B12)</f>
        <v>32</v>
      </c>
      <c r="R12">
        <f t="shared" ref="R12:R18" si="27">SQRT(SUMXMY2(B10:B12,Q10:Q12)/3)</f>
        <v>11.4228490965031</v>
      </c>
    </row>
    <row r="13">
      <c r="A13" s="15">
        <f t="shared" si="23"/>
        <v>10</v>
      </c>
      <c r="B13" s="15">
        <v>41</v>
      </c>
      <c r="C13">
        <f t="shared" ref="C13:C19" si="28">AVERAGE(B10:B12)</f>
        <v>32</v>
      </c>
      <c r="D13">
        <f t="shared" si="19"/>
        <v>9</v>
      </c>
      <c r="E13">
        <f t="shared" si="20"/>
        <v>81</v>
      </c>
      <c r="N13" s="15">
        <f t="shared" si="25"/>
        <v>10</v>
      </c>
      <c r="O13" s="15">
        <v>41</v>
      </c>
      <c r="P13" s="15"/>
      <c r="Q13">
        <f t="shared" si="26"/>
        <v>38.3333333333333</v>
      </c>
      <c r="R13">
        <f t="shared" si="27"/>
        <v>11.158786606012301</v>
      </c>
    </row>
    <row r="14">
      <c r="A14" s="15">
        <f t="shared" si="23"/>
        <v>11</v>
      </c>
      <c r="B14" s="15">
        <v>56</v>
      </c>
      <c r="C14">
        <f t="shared" si="28"/>
        <v>38.3333333333333</v>
      </c>
      <c r="D14">
        <f t="shared" si="19"/>
        <v>17.6666666666667</v>
      </c>
      <c r="E14">
        <f t="shared" si="20"/>
        <v>312.111111111112</v>
      </c>
      <c r="N14" s="15">
        <f t="shared" si="25"/>
        <v>11</v>
      </c>
      <c r="O14" s="15">
        <v>56</v>
      </c>
      <c r="P14" s="15"/>
      <c r="Q14">
        <f t="shared" si="26"/>
        <v>49.3333333333333</v>
      </c>
      <c r="R14">
        <f t="shared" si="27"/>
        <v>11.726829005256199</v>
      </c>
    </row>
    <row r="15">
      <c r="A15" s="15">
        <f t="shared" si="23"/>
        <v>12</v>
      </c>
      <c r="B15" s="15">
        <v>75</v>
      </c>
      <c r="C15">
        <f t="shared" si="28"/>
        <v>49.3333333333333</v>
      </c>
      <c r="D15">
        <f t="shared" si="19"/>
        <v>25.6666666666667</v>
      </c>
      <c r="E15">
        <f t="shared" si="20"/>
        <v>658.77777777777999</v>
      </c>
      <c r="N15" s="15">
        <f t="shared" si="25"/>
        <v>12</v>
      </c>
      <c r="O15" s="15">
        <v>75</v>
      </c>
      <c r="P15" s="15"/>
      <c r="Q15">
        <f t="shared" si="26"/>
        <v>57.3333333333333</v>
      </c>
      <c r="R15">
        <f t="shared" si="27"/>
        <v>11.0100963766092</v>
      </c>
    </row>
    <row r="16">
      <c r="A16" s="15">
        <f t="shared" si="23"/>
        <v>13</v>
      </c>
      <c r="B16" s="15">
        <v>60</v>
      </c>
      <c r="C16">
        <f t="shared" si="28"/>
        <v>57.3333333333333</v>
      </c>
      <c r="D16">
        <f t="shared" si="19"/>
        <v>2.6666666666666998</v>
      </c>
      <c r="E16">
        <f t="shared" si="20"/>
        <v>7.1111111111112901</v>
      </c>
      <c r="N16" s="15">
        <f t="shared" si="25"/>
        <v>13</v>
      </c>
      <c r="O16" s="15">
        <v>60</v>
      </c>
      <c r="P16" s="15"/>
      <c r="Q16">
        <f t="shared" si="26"/>
        <v>63.6666666666667</v>
      </c>
      <c r="R16">
        <f t="shared" si="27"/>
        <v>11.1055541659718</v>
      </c>
    </row>
    <row r="17">
      <c r="A17" s="15">
        <f t="shared" si="23"/>
        <v>14</v>
      </c>
      <c r="B17" s="15">
        <v>75</v>
      </c>
      <c r="C17">
        <f t="shared" si="28"/>
        <v>63.6666666666667</v>
      </c>
      <c r="D17">
        <f t="shared" si="19"/>
        <v>11.3333333333333</v>
      </c>
      <c r="E17">
        <f t="shared" si="20"/>
        <v>128.444444444444</v>
      </c>
      <c r="N17" s="15">
        <f t="shared" si="25"/>
        <v>14</v>
      </c>
      <c r="O17" s="15">
        <v>75</v>
      </c>
      <c r="P17" s="15"/>
      <c r="Q17">
        <f t="shared" si="26"/>
        <v>70</v>
      </c>
      <c r="R17">
        <f t="shared" si="27"/>
        <v>10.809803506625499</v>
      </c>
    </row>
    <row r="18">
      <c r="A18" s="17">
        <f t="shared" si="23"/>
        <v>15</v>
      </c>
      <c r="B18" s="17">
        <v>88</v>
      </c>
      <c r="C18" s="14">
        <f t="shared" si="28"/>
        <v>70</v>
      </c>
      <c r="D18" s="14">
        <f t="shared" si="19"/>
        <v>18</v>
      </c>
      <c r="E18" s="14">
        <f t="shared" si="20"/>
        <v>324</v>
      </c>
      <c r="N18" s="17">
        <f t="shared" si="25"/>
        <v>15</v>
      </c>
      <c r="O18" s="17">
        <v>88</v>
      </c>
      <c r="P18" s="15"/>
      <c r="Q18" s="14">
        <f t="shared" si="26"/>
        <v>74.3333333333333</v>
      </c>
      <c r="R18" s="14">
        <f t="shared" si="27"/>
        <v>8.6645296510586398</v>
      </c>
    </row>
    <row r="19">
      <c r="A19" s="15" t="s">
        <v>208</v>
      </c>
      <c r="C19">
        <f t="shared" si="28"/>
        <v>74.3333333333333</v>
      </c>
    </row>
    <row r="21">
      <c r="D21" s="15" t="s">
        <v>211</v>
      </c>
      <c r="E21" s="15" t="s">
        <v>212</v>
      </c>
    </row>
    <row r="22">
      <c r="D22" s="22">
        <f>AVERAGE(D4:D18)</f>
        <v>12.0555555555556</v>
      </c>
      <c r="E22" s="23">
        <f>AVERAGE(E4:E18)</f>
        <v>226.388888888889</v>
      </c>
    </row>
    <row r="24">
      <c r="D24">
        <f>SUMPRODUCT(ABS(B7:B18-C7:C18))/COUNT(B7:B18)</f>
        <v>12.0555555555556</v>
      </c>
      <c r="E24">
        <f>SUMPRODUCT((B7:B18-C7:C18)^2)/COUNT(B7:B18)</f>
        <v>226.388888888889</v>
      </c>
    </row>
    <row r="25">
      <c r="E25">
        <f>SUMXMY2(B7:B18,C7:C18)/COUNT(B7:B18)</f>
        <v>226.388888888889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3" max="3" width="5.7232139999999996"/>
  </cols>
  <sheetData>
    <row r="1">
      <c r="A1" s="1" t="s">
        <v>213</v>
      </c>
    </row>
    <row r="3">
      <c r="A3" s="4" t="s">
        <v>206</v>
      </c>
      <c r="B3" s="4" t="s">
        <v>207</v>
      </c>
    </row>
    <row r="4">
      <c r="A4" s="15">
        <v>1</v>
      </c>
      <c r="B4" s="15">
        <v>3</v>
      </c>
      <c r="D4" t="e">
        <v>#N/A</v>
      </c>
      <c r="E4" t="e">
        <v>#N/A</v>
      </c>
    </row>
    <row r="5">
      <c r="A5" s="15">
        <f t="shared" ref="A5:A10" si="29">A4+1</f>
        <v>2</v>
      </c>
      <c r="B5" s="15">
        <v>5</v>
      </c>
      <c r="D5" t="e">
        <v>#N/A</v>
      </c>
      <c r="E5" t="e">
        <v>#N/A</v>
      </c>
    </row>
    <row r="6">
      <c r="A6" s="15">
        <f t="shared" si="29"/>
        <v>3</v>
      </c>
      <c r="B6" s="15">
        <v>9</v>
      </c>
      <c r="D6">
        <f t="shared" ref="D6:D9" si="30">AVERAGE(B4:B6)</f>
        <v>5.6666666666666696</v>
      </c>
      <c r="E6" t="e">
        <v>#N/A</v>
      </c>
    </row>
    <row r="7">
      <c r="A7" s="15">
        <f t="shared" si="29"/>
        <v>4</v>
      </c>
      <c r="B7" s="15">
        <v>20</v>
      </c>
      <c r="D7">
        <f t="shared" si="30"/>
        <v>11.3333333333333</v>
      </c>
      <c r="E7" t="e">
        <v>#N/A</v>
      </c>
    </row>
    <row r="8">
      <c r="A8" s="15">
        <f t="shared" si="29"/>
        <v>5</v>
      </c>
      <c r="B8" s="15">
        <v>12</v>
      </c>
      <c r="D8">
        <f t="shared" si="30"/>
        <v>13.6666666666667</v>
      </c>
      <c r="E8">
        <f t="shared" ref="E8:E9" si="31">SQRT(SUMXMY2(B6:B8,D6:D8)/3)</f>
        <v>5.4467115461227502</v>
      </c>
    </row>
    <row r="9">
      <c r="A9" s="15">
        <f t="shared" si="29"/>
        <v>6</v>
      </c>
      <c r="B9" s="15">
        <v>17</v>
      </c>
      <c r="D9">
        <f t="shared" si="30"/>
        <v>16.3333333333333</v>
      </c>
      <c r="E9">
        <f t="shared" si="31"/>
        <v>5.1099032389186601</v>
      </c>
    </row>
    <row r="10">
      <c r="A10" s="15">
        <f t="shared" si="29"/>
        <v>7</v>
      </c>
      <c r="B10" s="15">
        <v>22</v>
      </c>
      <c r="D10">
        <f t="shared" ref="D10:D11" si="32">AVERAGE(B8:B10)</f>
        <v>17</v>
      </c>
      <c r="E10">
        <f t="shared" ref="E10:E11" si="33">SQRT(SUMXMY2(B8:B10,D8:D10)/3)</f>
        <v>3.0671497204093998</v>
      </c>
    </row>
    <row r="11">
      <c r="A11" s="15">
        <f t="shared" ref="A11:A18" si="34">A10+1</f>
        <v>8</v>
      </c>
      <c r="B11" s="15">
        <v>23</v>
      </c>
      <c r="D11">
        <f t="shared" si="32"/>
        <v>20.6666666666667</v>
      </c>
      <c r="E11">
        <f t="shared" si="33"/>
        <v>3.2087842395985899</v>
      </c>
    </row>
    <row r="12">
      <c r="A12" s="15">
        <f t="shared" si="34"/>
        <v>9</v>
      </c>
      <c r="B12" s="15">
        <v>51</v>
      </c>
      <c r="D12">
        <f t="shared" ref="D12:D18" si="35">AVERAGE(B10:B12)</f>
        <v>32</v>
      </c>
      <c r="E12">
        <f t="shared" ref="E12:E18" si="36">SQRT(SUMXMY2(B10:B12,D10:D12)/3)</f>
        <v>11.4228490965031</v>
      </c>
    </row>
    <row r="13">
      <c r="A13" s="15">
        <f t="shared" si="34"/>
        <v>10</v>
      </c>
      <c r="B13" s="15">
        <v>41</v>
      </c>
      <c r="D13">
        <f t="shared" si="35"/>
        <v>38.3333333333333</v>
      </c>
      <c r="E13">
        <f t="shared" si="36"/>
        <v>11.158786606012301</v>
      </c>
    </row>
    <row r="14">
      <c r="A14" s="15">
        <f t="shared" si="34"/>
        <v>11</v>
      </c>
      <c r="B14" s="15">
        <v>56</v>
      </c>
      <c r="D14">
        <f t="shared" si="35"/>
        <v>49.3333333333333</v>
      </c>
      <c r="E14">
        <f t="shared" si="36"/>
        <v>11.726829005256199</v>
      </c>
    </row>
    <row r="15">
      <c r="A15" s="15">
        <f t="shared" si="34"/>
        <v>12</v>
      </c>
      <c r="B15" s="15">
        <v>75</v>
      </c>
      <c r="D15">
        <f t="shared" si="35"/>
        <v>57.3333333333333</v>
      </c>
      <c r="E15">
        <f t="shared" si="36"/>
        <v>11.0100963766092</v>
      </c>
    </row>
    <row r="16">
      <c r="A16" s="15">
        <f t="shared" si="34"/>
        <v>13</v>
      </c>
      <c r="B16" s="15">
        <v>60</v>
      </c>
      <c r="D16">
        <f t="shared" si="35"/>
        <v>63.6666666666667</v>
      </c>
      <c r="E16">
        <f t="shared" si="36"/>
        <v>11.1055541659718</v>
      </c>
    </row>
    <row r="17">
      <c r="A17" s="15">
        <f t="shared" si="34"/>
        <v>14</v>
      </c>
      <c r="B17" s="15">
        <v>75</v>
      </c>
      <c r="D17">
        <f t="shared" si="35"/>
        <v>70</v>
      </c>
      <c r="E17">
        <f t="shared" si="36"/>
        <v>10.809803506625499</v>
      </c>
    </row>
    <row r="18">
      <c r="A18" s="17">
        <f t="shared" si="34"/>
        <v>15</v>
      </c>
      <c r="B18" s="17">
        <v>88</v>
      </c>
      <c r="D18">
        <f t="shared" si="35"/>
        <v>74.3333333333333</v>
      </c>
      <c r="E18">
        <f t="shared" si="36"/>
        <v>8.6645296510586398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I21" activeCellId="0" sqref="I21"/>
    </sheetView>
  </sheetViews>
  <sheetFormatPr defaultRowHeight="14.25"/>
  <cols>
    <col customWidth="1" min="1" max="2" width="6.2678570000000002"/>
    <col customWidth="1" min="3" max="3" width="6.1785709999999998"/>
    <col customWidth="1" min="4" max="4" width="3.3660709999999998"/>
  </cols>
  <sheetData>
    <row r="1">
      <c r="A1" s="1" t="s">
        <v>214</v>
      </c>
    </row>
    <row r="3">
      <c r="A3" s="4" t="s">
        <v>206</v>
      </c>
      <c r="B3" s="4" t="s">
        <v>207</v>
      </c>
      <c r="D3" t="s">
        <v>22</v>
      </c>
      <c r="G3" s="15" t="s">
        <v>203</v>
      </c>
      <c r="H3" s="18">
        <v>5.0000000000000003e-02</v>
      </c>
    </row>
    <row r="4">
      <c r="A4" s="15">
        <v>1</v>
      </c>
      <c r="B4" s="15">
        <v>3</v>
      </c>
    </row>
    <row r="5">
      <c r="A5" s="15">
        <f t="shared" ref="A5:A10" si="37">A4+1</f>
        <v>2</v>
      </c>
      <c r="B5" s="15">
        <v>5</v>
      </c>
      <c r="D5" s="24" t="str">
        <f t="shared" ref="D5:D11" si="38">A3</f>
        <v>t</v>
      </c>
      <c r="E5" s="24" t="str">
        <f t="shared" ref="E5:E11" si="39">B3</f>
        <v>y</v>
      </c>
      <c r="F5" s="24" t="s">
        <v>193</v>
      </c>
      <c r="G5" s="24" t="s">
        <v>183</v>
      </c>
      <c r="H5" s="24" t="s">
        <v>215</v>
      </c>
      <c r="I5" s="24" t="s">
        <v>216</v>
      </c>
    </row>
    <row r="6">
      <c r="A6" s="15">
        <f t="shared" si="37"/>
        <v>3</v>
      </c>
      <c r="B6" s="15">
        <v>9</v>
      </c>
      <c r="D6">
        <f t="shared" si="38"/>
        <v>1</v>
      </c>
      <c r="E6">
        <f t="shared" si="39"/>
        <v>3</v>
      </c>
    </row>
    <row r="7">
      <c r="A7" s="15">
        <f t="shared" si="37"/>
        <v>4</v>
      </c>
      <c r="B7" s="15">
        <v>20</v>
      </c>
      <c r="D7">
        <f t="shared" si="38"/>
        <v>2</v>
      </c>
      <c r="E7">
        <f t="shared" si="39"/>
        <v>5</v>
      </c>
    </row>
    <row r="8">
      <c r="A8" s="15">
        <f t="shared" si="37"/>
        <v>5</v>
      </c>
      <c r="B8" s="15">
        <v>12</v>
      </c>
      <c r="D8">
        <f t="shared" si="38"/>
        <v>3</v>
      </c>
      <c r="E8">
        <f t="shared" si="39"/>
        <v>9</v>
      </c>
    </row>
    <row r="9">
      <c r="A9" s="15">
        <f t="shared" si="37"/>
        <v>6</v>
      </c>
      <c r="B9" s="15">
        <v>17</v>
      </c>
      <c r="D9">
        <f t="shared" si="38"/>
        <v>4</v>
      </c>
      <c r="E9">
        <f t="shared" si="39"/>
        <v>20</v>
      </c>
      <c r="F9">
        <f t="shared" ref="F9:F10" si="40">AVERAGE(E6:E8)</f>
        <v>5.6666666666666696</v>
      </c>
    </row>
    <row r="10">
      <c r="A10" s="15">
        <f t="shared" si="37"/>
        <v>7</v>
      </c>
      <c r="B10" s="15">
        <v>22</v>
      </c>
      <c r="D10">
        <f t="shared" si="38"/>
        <v>5</v>
      </c>
      <c r="E10">
        <f t="shared" si="39"/>
        <v>12</v>
      </c>
      <c r="F10">
        <f t="shared" si="40"/>
        <v>11.3333333333333</v>
      </c>
    </row>
    <row r="11">
      <c r="A11" s="15">
        <f t="shared" ref="A11:A18" si="41">A10+1</f>
        <v>8</v>
      </c>
      <c r="B11" s="15">
        <v>23</v>
      </c>
      <c r="D11">
        <f t="shared" si="38"/>
        <v>6</v>
      </c>
      <c r="E11">
        <f t="shared" si="39"/>
        <v>17</v>
      </c>
      <c r="F11">
        <f t="shared" ref="F11:F12" si="42">AVERAGE(E8:E10)</f>
        <v>13.6666666666667</v>
      </c>
      <c r="G11">
        <f>SQRT(SUMXMY2(E8:E10,F9:F11)/3)</f>
        <v>5.4467115461227502</v>
      </c>
      <c r="H11">
        <f t="shared" ref="H11:H21" si="43">F11-G11*_xlfn.NORM.S.INV(1-H$3/2)</f>
        <v>2.9913087282951998</v>
      </c>
      <c r="I11">
        <f t="shared" ref="I11:I21" si="44">F11+G11*_xlfn.NORM.S.INV(1-H$3/2)</f>
        <v>24.342024605038201</v>
      </c>
    </row>
    <row r="12">
      <c r="A12" s="15">
        <f t="shared" si="41"/>
        <v>9</v>
      </c>
      <c r="B12" s="15">
        <v>51</v>
      </c>
      <c r="D12">
        <f t="shared" ref="D12:D20" si="45">A10</f>
        <v>7</v>
      </c>
      <c r="E12">
        <f t="shared" ref="E12:E20" si="46">B10</f>
        <v>22</v>
      </c>
      <c r="F12">
        <f t="shared" si="42"/>
        <v>16.3333333333333</v>
      </c>
      <c r="G12">
        <f>SQRT(SUMXMY2(E9:E11,F10:F12)/3)</f>
        <v>5.1099032389186601</v>
      </c>
      <c r="H12">
        <f t="shared" si="43"/>
        <v>6.3181075142366003</v>
      </c>
      <c r="I12">
        <f t="shared" si="44"/>
        <v>26.348559152429999</v>
      </c>
    </row>
    <row r="13">
      <c r="A13" s="15">
        <f t="shared" si="41"/>
        <v>10</v>
      </c>
      <c r="B13" s="15">
        <v>41</v>
      </c>
      <c r="D13">
        <f t="shared" si="45"/>
        <v>8</v>
      </c>
      <c r="E13">
        <f t="shared" si="46"/>
        <v>23</v>
      </c>
      <c r="F13">
        <f t="shared" ref="F13:F21" si="47">AVERAGE(E10:E12)</f>
        <v>17</v>
      </c>
      <c r="G13">
        <f t="shared" ref="G13:G21" si="48">SQRT(SUMXMY2(E10:E12,F11:F13)/3)</f>
        <v>3.0671497204093998</v>
      </c>
      <c r="H13">
        <f t="shared" si="43"/>
        <v>10.988497309123201</v>
      </c>
      <c r="I13">
        <f t="shared" si="44"/>
        <v>23.011502690876799</v>
      </c>
    </row>
    <row r="14">
      <c r="A14" s="15">
        <f t="shared" si="41"/>
        <v>11</v>
      </c>
      <c r="B14" s="15">
        <v>56</v>
      </c>
      <c r="D14">
        <f t="shared" si="45"/>
        <v>9</v>
      </c>
      <c r="E14">
        <f t="shared" si="46"/>
        <v>51</v>
      </c>
      <c r="F14">
        <f t="shared" si="47"/>
        <v>20.6666666666667</v>
      </c>
      <c r="G14">
        <f t="shared" si="48"/>
        <v>3.2087842395985899</v>
      </c>
      <c r="H14">
        <f t="shared" si="43"/>
        <v>14.3775654328948</v>
      </c>
      <c r="I14">
        <f t="shared" si="44"/>
        <v>26.955767900438602</v>
      </c>
    </row>
    <row r="15">
      <c r="A15" s="15">
        <f t="shared" si="41"/>
        <v>12</v>
      </c>
      <c r="B15" s="15">
        <v>75</v>
      </c>
      <c r="D15">
        <f t="shared" si="45"/>
        <v>10</v>
      </c>
      <c r="E15">
        <f t="shared" si="46"/>
        <v>41</v>
      </c>
      <c r="F15">
        <f t="shared" si="47"/>
        <v>32</v>
      </c>
      <c r="G15">
        <f t="shared" si="48"/>
        <v>11.4228490965031</v>
      </c>
      <c r="H15">
        <f t="shared" si="43"/>
        <v>9.6116282735809992</v>
      </c>
      <c r="I15">
        <f t="shared" si="44"/>
        <v>54.388371726419003</v>
      </c>
    </row>
    <row r="16">
      <c r="A16" s="15">
        <f t="shared" si="41"/>
        <v>13</v>
      </c>
      <c r="B16" s="15">
        <v>60</v>
      </c>
      <c r="D16">
        <f t="shared" si="45"/>
        <v>11</v>
      </c>
      <c r="E16">
        <f t="shared" si="46"/>
        <v>56</v>
      </c>
      <c r="F16">
        <f t="shared" si="47"/>
        <v>38.3333333333333</v>
      </c>
      <c r="G16">
        <f t="shared" si="48"/>
        <v>11.158786606012301</v>
      </c>
      <c r="H16">
        <f t="shared" si="43"/>
        <v>16.462514552433099</v>
      </c>
      <c r="I16">
        <f t="shared" si="44"/>
        <v>60.204152114233501</v>
      </c>
    </row>
    <row r="17">
      <c r="A17" s="15">
        <f t="shared" si="41"/>
        <v>14</v>
      </c>
      <c r="B17" s="15">
        <v>75</v>
      </c>
      <c r="D17">
        <f t="shared" si="45"/>
        <v>12</v>
      </c>
      <c r="E17">
        <f t="shared" si="46"/>
        <v>75</v>
      </c>
      <c r="F17">
        <f t="shared" si="47"/>
        <v>49.3333333333333</v>
      </c>
      <c r="G17">
        <f t="shared" si="48"/>
        <v>11.726829005256199</v>
      </c>
      <c r="H17">
        <f t="shared" si="43"/>
        <v>26.349171963101998</v>
      </c>
      <c r="I17">
        <f t="shared" si="44"/>
        <v>72.317494703564606</v>
      </c>
    </row>
    <row r="18">
      <c r="A18" s="17">
        <f t="shared" si="41"/>
        <v>15</v>
      </c>
      <c r="B18" s="17">
        <v>88</v>
      </c>
      <c r="D18">
        <f t="shared" si="45"/>
        <v>13</v>
      </c>
      <c r="E18">
        <f t="shared" si="46"/>
        <v>60</v>
      </c>
      <c r="F18">
        <f t="shared" si="47"/>
        <v>57.3333333333333</v>
      </c>
      <c r="G18">
        <f t="shared" si="48"/>
        <v>11.0100963766092</v>
      </c>
      <c r="H18">
        <f t="shared" si="43"/>
        <v>35.753942032551201</v>
      </c>
      <c r="I18">
        <f t="shared" si="44"/>
        <v>78.912724634115406</v>
      </c>
    </row>
    <row r="19">
      <c r="A19" s="15"/>
      <c r="D19">
        <f t="shared" si="45"/>
        <v>14</v>
      </c>
      <c r="E19">
        <f t="shared" si="46"/>
        <v>75</v>
      </c>
      <c r="F19">
        <f t="shared" si="47"/>
        <v>63.6666666666667</v>
      </c>
      <c r="G19">
        <f t="shared" si="48"/>
        <v>11.1055541659718</v>
      </c>
      <c r="H19">
        <f t="shared" si="43"/>
        <v>41.900181545912297</v>
      </c>
      <c r="I19">
        <f t="shared" si="44"/>
        <v>85.433151787421096</v>
      </c>
    </row>
    <row r="20">
      <c r="D20" s="14">
        <f t="shared" si="45"/>
        <v>15</v>
      </c>
      <c r="E20" s="14">
        <f t="shared" si="46"/>
        <v>88</v>
      </c>
      <c r="F20" s="14">
        <f t="shared" si="47"/>
        <v>70</v>
      </c>
      <c r="G20" s="14">
        <f t="shared" si="48"/>
        <v>10.809803506625499</v>
      </c>
      <c r="H20" s="14">
        <f t="shared" si="43"/>
        <v>48.813175491395803</v>
      </c>
      <c r="I20" s="14">
        <f t="shared" si="44"/>
        <v>91.186824508604204</v>
      </c>
    </row>
    <row r="21">
      <c r="D21" s="15" t="s">
        <v>217</v>
      </c>
      <c r="F21">
        <f t="shared" si="47"/>
        <v>74.3333333333333</v>
      </c>
      <c r="G21">
        <f t="shared" si="48"/>
        <v>8.6645296510586398</v>
      </c>
      <c r="H21">
        <f t="shared" si="43"/>
        <v>57.351168111360302</v>
      </c>
      <c r="I21">
        <f t="shared" si="44"/>
        <v>91.315498555306306</v>
      </c>
    </row>
    <row r="23">
      <c r="E23" s="25" t="s">
        <v>211</v>
      </c>
      <c r="F23" s="25" t="s">
        <v>212</v>
      </c>
      <c r="G23" s="25" t="s">
        <v>218</v>
      </c>
    </row>
    <row r="24">
      <c r="E24" s="22">
        <f>SUMPRODUCT(ABS(E9:E20-F9:F20))/COUNT(F9:F20)</f>
        <v>12.0555555555556</v>
      </c>
      <c r="F24" s="26">
        <f>SUMXMY2(E9:E20,F9:F20)/COUNT(F9:F20)</f>
        <v>226.388888888889</v>
      </c>
      <c r="G24" s="23">
        <f>SUMPRODUCT(ABS(1-F9:F20/E9:E20))/COUNT(F9:F20)</f>
        <v>0.27990240301161301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4" width="7.1785709999999998"/>
    <col customWidth="1" min="5" max="5" width="8"/>
    <col customWidth="1" min="6" max="6" width="4.5446429999999998"/>
    <col customWidth="1" min="7" max="7" width="7.7232139999999996"/>
  </cols>
  <sheetData>
    <row r="1">
      <c r="A1" s="1" t="s">
        <v>26</v>
      </c>
    </row>
    <row r="3">
      <c r="A3" s="4" t="s">
        <v>206</v>
      </c>
      <c r="B3" s="4" t="s">
        <v>207</v>
      </c>
      <c r="C3" s="4" t="s">
        <v>208</v>
      </c>
      <c r="D3" s="4" t="s">
        <v>209</v>
      </c>
      <c r="E3" s="4" t="s">
        <v>210</v>
      </c>
      <c r="G3" s="4" t="s">
        <v>219</v>
      </c>
      <c r="Q3" t="s">
        <v>26</v>
      </c>
      <c r="T3" t="s">
        <v>203</v>
      </c>
      <c r="U3" s="18">
        <v>5.0000000000000003e-02</v>
      </c>
    </row>
    <row r="4">
      <c r="A4" s="15">
        <v>1</v>
      </c>
      <c r="B4" s="15">
        <v>3</v>
      </c>
      <c r="G4" s="15">
        <v>0.10000000000000001</v>
      </c>
    </row>
    <row r="5">
      <c r="A5" s="15">
        <f t="shared" ref="A5:A10" si="49">A4+1</f>
        <v>2</v>
      </c>
      <c r="B5" s="15">
        <v>5</v>
      </c>
      <c r="G5" s="15">
        <v>0.29999999999999999</v>
      </c>
      <c r="Q5" s="24" t="str">
        <f t="shared" ref="Q5:Q11" si="50">A3</f>
        <v>t</v>
      </c>
      <c r="R5" s="24" t="str">
        <f t="shared" ref="R5:R11" si="51">B3</f>
        <v>y</v>
      </c>
      <c r="S5" s="24" t="s">
        <v>193</v>
      </c>
      <c r="T5" s="24" t="s">
        <v>183</v>
      </c>
      <c r="U5" s="24" t="s">
        <v>215</v>
      </c>
      <c r="V5" s="24" t="s">
        <v>216</v>
      </c>
    </row>
    <row r="6">
      <c r="A6" s="15">
        <f t="shared" si="49"/>
        <v>3</v>
      </c>
      <c r="B6" s="15">
        <v>9</v>
      </c>
      <c r="G6" s="17">
        <v>0.59999999999999998</v>
      </c>
      <c r="Q6">
        <f t="shared" si="50"/>
        <v>1</v>
      </c>
      <c r="R6">
        <f t="shared" si="51"/>
        <v>3</v>
      </c>
    </row>
    <row r="7">
      <c r="A7" s="15">
        <f t="shared" si="49"/>
        <v>4</v>
      </c>
      <c r="B7" s="15">
        <v>20</v>
      </c>
      <c r="C7">
        <f t="shared" ref="C7:C10" si="52">SUMPRODUCT(B4:B6,G$4:G$6)</f>
        <v>7.2000000000000002</v>
      </c>
      <c r="D7">
        <f t="shared" ref="D7:D9" si="53">ABS(B7-C7)</f>
        <v>12.800000000000001</v>
      </c>
      <c r="E7">
        <f t="shared" ref="E7:E9" si="54">(B7-C7)^2</f>
        <v>163.84</v>
      </c>
      <c r="G7" s="27">
        <f>SUM(G4:G6)</f>
        <v>1</v>
      </c>
      <c r="Q7">
        <f t="shared" si="50"/>
        <v>2</v>
      </c>
      <c r="R7">
        <f t="shared" si="51"/>
        <v>5</v>
      </c>
    </row>
    <row r="8">
      <c r="A8" s="15">
        <f t="shared" si="49"/>
        <v>5</v>
      </c>
      <c r="B8" s="15">
        <v>12</v>
      </c>
      <c r="C8">
        <f t="shared" si="52"/>
        <v>15.199999999999999</v>
      </c>
      <c r="D8">
        <f t="shared" si="53"/>
        <v>3.2000000000000002</v>
      </c>
      <c r="E8">
        <f t="shared" si="54"/>
        <v>10.24</v>
      </c>
      <c r="Q8">
        <f t="shared" si="50"/>
        <v>3</v>
      </c>
      <c r="R8">
        <f t="shared" si="51"/>
        <v>9</v>
      </c>
    </row>
    <row r="9">
      <c r="A9" s="15">
        <f t="shared" si="49"/>
        <v>6</v>
      </c>
      <c r="B9" s="15">
        <v>17</v>
      </c>
      <c r="C9">
        <f t="shared" si="52"/>
        <v>14.1</v>
      </c>
      <c r="D9">
        <f t="shared" si="53"/>
        <v>2.8999999999999999</v>
      </c>
      <c r="E9">
        <f t="shared" si="54"/>
        <v>8.4100000000000001</v>
      </c>
      <c r="Q9">
        <f t="shared" si="50"/>
        <v>4</v>
      </c>
      <c r="R9">
        <f t="shared" si="51"/>
        <v>20</v>
      </c>
      <c r="S9">
        <f t="shared" ref="S9:S10" si="55">SUMPRODUCT(R6:R8,$G$4:$G$6)/SUM($G$4:$G$6)</f>
        <v>7.2000000000000002</v>
      </c>
    </row>
    <row r="10">
      <c r="A10" s="15">
        <f t="shared" si="49"/>
        <v>7</v>
      </c>
      <c r="B10" s="15">
        <v>22</v>
      </c>
      <c r="C10">
        <f t="shared" si="52"/>
        <v>15.800000000000001</v>
      </c>
      <c r="D10">
        <f t="shared" ref="D10:D18" si="56">ABS(B10-C10)</f>
        <v>6.2000000000000002</v>
      </c>
      <c r="E10">
        <f t="shared" ref="E10:E18" si="57">(B10-C10)^2</f>
        <v>38.439999999999998</v>
      </c>
      <c r="Q10">
        <f t="shared" si="50"/>
        <v>5</v>
      </c>
      <c r="R10">
        <f t="shared" si="51"/>
        <v>12</v>
      </c>
      <c r="S10">
        <f t="shared" si="55"/>
        <v>15.199999999999999</v>
      </c>
    </row>
    <row r="11">
      <c r="A11" s="15">
        <f t="shared" ref="A11:A18" si="58">A10+1</f>
        <v>8</v>
      </c>
      <c r="B11" s="15">
        <v>23</v>
      </c>
      <c r="C11">
        <f t="shared" ref="C11:C12" si="59">SUMPRODUCT(B8:B10,G$4:G$6)</f>
        <v>19.5</v>
      </c>
      <c r="D11">
        <f t="shared" si="56"/>
        <v>3.5</v>
      </c>
      <c r="E11">
        <f t="shared" si="57"/>
        <v>12.25</v>
      </c>
      <c r="Q11">
        <f t="shared" si="50"/>
        <v>6</v>
      </c>
      <c r="R11">
        <f t="shared" si="51"/>
        <v>17</v>
      </c>
      <c r="S11">
        <f t="shared" ref="S11:S12" si="60">SUMPRODUCT(R8:R10,$G$4:$G$6)/SUM($G$4:$G$6)</f>
        <v>14.1</v>
      </c>
      <c r="T11">
        <f>SQRT(SUMXMY2(R8:R10,S9:S11)/3)</f>
        <v>3.1984371183439002</v>
      </c>
      <c r="U11">
        <f t="shared" ref="U11:U21" si="61">S11-T11*_xlfn.NORM.S.INV(1-U$3/2)</f>
        <v>7.8311787502313202</v>
      </c>
      <c r="V11">
        <f t="shared" ref="V11:V21" si="62">S11+T11*_xlfn.NORM.S.INV(1-U$3/2)</f>
        <v>20.3688212497687</v>
      </c>
    </row>
    <row r="12">
      <c r="A12" s="15">
        <f t="shared" si="58"/>
        <v>9</v>
      </c>
      <c r="B12" s="15">
        <v>51</v>
      </c>
      <c r="C12">
        <f t="shared" si="59"/>
        <v>22.100000000000001</v>
      </c>
      <c r="D12">
        <f t="shared" si="56"/>
        <v>28.899999999999999</v>
      </c>
      <c r="E12">
        <f t="shared" si="57"/>
        <v>835.21000000000004</v>
      </c>
      <c r="Q12">
        <f t="shared" ref="Q12:Q20" si="63">A10</f>
        <v>7</v>
      </c>
      <c r="R12">
        <f t="shared" ref="R12:R20" si="64">B10</f>
        <v>22</v>
      </c>
      <c r="S12">
        <f t="shared" si="60"/>
        <v>15.800000000000001</v>
      </c>
      <c r="T12">
        <f>SQRT(SUMXMY2(R9:R11,S10:S12)/3)</f>
        <v>3.1032241298365801</v>
      </c>
      <c r="U12">
        <f t="shared" si="61"/>
        <v>9.7177927693675503</v>
      </c>
      <c r="V12">
        <f t="shared" si="62"/>
        <v>21.882207230632499</v>
      </c>
    </row>
    <row r="13">
      <c r="A13" s="15">
        <f t="shared" si="58"/>
        <v>10</v>
      </c>
      <c r="B13" s="15">
        <v>41</v>
      </c>
      <c r="C13">
        <f t="shared" ref="C13:C19" si="65">SUMPRODUCT(B10:B12,G$4:G$6)</f>
        <v>39.700000000000003</v>
      </c>
      <c r="D13">
        <f t="shared" si="56"/>
        <v>1.3</v>
      </c>
      <c r="E13">
        <f t="shared" si="57"/>
        <v>1.6899999999999999</v>
      </c>
      <c r="Q13">
        <f t="shared" si="63"/>
        <v>8</v>
      </c>
      <c r="R13">
        <f t="shared" si="64"/>
        <v>23</v>
      </c>
      <c r="S13">
        <f t="shared" ref="S13:S21" si="66">SUMPRODUCT(R10:R12,$G$4:$G$6)/SUM($G$4:$G$6)</f>
        <v>19.5</v>
      </c>
      <c r="T13">
        <f t="shared" ref="T13:T21" si="67">SQRT(SUMXMY2(R10:R12,S11:S13)/3)</f>
        <v>2.00831604418561</v>
      </c>
      <c r="U13">
        <f t="shared" si="61"/>
        <v>15.5637730778459</v>
      </c>
      <c r="V13">
        <f t="shared" si="62"/>
        <v>23.436226922154098</v>
      </c>
    </row>
    <row r="14">
      <c r="A14" s="15">
        <f t="shared" si="58"/>
        <v>11</v>
      </c>
      <c r="B14" s="15">
        <v>56</v>
      </c>
      <c r="C14">
        <f t="shared" si="65"/>
        <v>42.200000000000003</v>
      </c>
      <c r="D14">
        <f t="shared" si="56"/>
        <v>13.800000000000001</v>
      </c>
      <c r="E14">
        <f t="shared" si="57"/>
        <v>190.44</v>
      </c>
      <c r="Q14">
        <f t="shared" si="63"/>
        <v>9</v>
      </c>
      <c r="R14">
        <f t="shared" si="64"/>
        <v>51</v>
      </c>
      <c r="S14">
        <f t="shared" si="66"/>
        <v>22.100000000000001</v>
      </c>
      <c r="T14">
        <f t="shared" si="67"/>
        <v>1.68325082306035</v>
      </c>
      <c r="U14">
        <f t="shared" si="61"/>
        <v>18.800889172473401</v>
      </c>
      <c r="V14">
        <f t="shared" si="62"/>
        <v>25.399110827526599</v>
      </c>
    </row>
    <row r="15">
      <c r="A15" s="15">
        <f t="shared" si="58"/>
        <v>12</v>
      </c>
      <c r="B15" s="15">
        <v>75</v>
      </c>
      <c r="C15">
        <f t="shared" si="65"/>
        <v>51</v>
      </c>
      <c r="D15">
        <f t="shared" si="56"/>
        <v>24</v>
      </c>
      <c r="E15">
        <f t="shared" si="57"/>
        <v>576</v>
      </c>
      <c r="Q15">
        <f t="shared" si="63"/>
        <v>10</v>
      </c>
      <c r="R15">
        <f t="shared" si="64"/>
        <v>41</v>
      </c>
      <c r="S15">
        <f t="shared" si="66"/>
        <v>39.700000000000003</v>
      </c>
      <c r="T15">
        <f t="shared" si="67"/>
        <v>6.7019897542943703</v>
      </c>
      <c r="U15">
        <f t="shared" si="61"/>
        <v>26.5643421043067</v>
      </c>
      <c r="V15">
        <f t="shared" si="62"/>
        <v>52.835657895693302</v>
      </c>
    </row>
    <row r="16">
      <c r="A16" s="15">
        <f t="shared" si="58"/>
        <v>13</v>
      </c>
      <c r="B16" s="15">
        <v>60</v>
      </c>
      <c r="C16">
        <f t="shared" si="65"/>
        <v>65.900000000000006</v>
      </c>
      <c r="D16">
        <f t="shared" si="56"/>
        <v>5.9000000000000101</v>
      </c>
      <c r="E16">
        <f t="shared" si="57"/>
        <v>34.810000000000102</v>
      </c>
      <c r="Q16">
        <f t="shared" si="63"/>
        <v>11</v>
      </c>
      <c r="R16">
        <f t="shared" si="64"/>
        <v>56</v>
      </c>
      <c r="S16">
        <f t="shared" si="66"/>
        <v>42.200000000000003</v>
      </c>
      <c r="T16">
        <f t="shared" si="67"/>
        <v>6.5812866016709304</v>
      </c>
      <c r="U16">
        <f t="shared" si="61"/>
        <v>29.300915924607999</v>
      </c>
      <c r="V16">
        <f t="shared" si="62"/>
        <v>55.099084075392</v>
      </c>
    </row>
    <row r="17">
      <c r="A17" s="15">
        <f t="shared" si="58"/>
        <v>14</v>
      </c>
      <c r="B17" s="15">
        <v>75</v>
      </c>
      <c r="C17">
        <f t="shared" si="65"/>
        <v>64.099999999999994</v>
      </c>
      <c r="D17">
        <f t="shared" si="56"/>
        <v>10.9</v>
      </c>
      <c r="E17">
        <f t="shared" si="57"/>
        <v>118.81</v>
      </c>
      <c r="Q17">
        <f t="shared" si="63"/>
        <v>12</v>
      </c>
      <c r="R17">
        <f t="shared" si="64"/>
        <v>75</v>
      </c>
      <c r="S17">
        <f t="shared" si="66"/>
        <v>51</v>
      </c>
      <c r="T17">
        <f t="shared" si="67"/>
        <v>7.1677518558238802</v>
      </c>
      <c r="U17">
        <f t="shared" si="61"/>
        <v>36.951465204942501</v>
      </c>
      <c r="V17">
        <f t="shared" si="62"/>
        <v>65.048534795057506</v>
      </c>
    </row>
    <row r="18">
      <c r="A18" s="17">
        <f t="shared" si="58"/>
        <v>15</v>
      </c>
      <c r="B18" s="17">
        <v>88</v>
      </c>
      <c r="C18" s="14">
        <f t="shared" si="65"/>
        <v>70.5</v>
      </c>
      <c r="D18" s="14">
        <f t="shared" si="56"/>
        <v>17.5</v>
      </c>
      <c r="E18" s="14">
        <f t="shared" si="57"/>
        <v>306.25</v>
      </c>
      <c r="Q18">
        <f t="shared" si="63"/>
        <v>13</v>
      </c>
      <c r="R18">
        <f t="shared" si="64"/>
        <v>60</v>
      </c>
      <c r="S18">
        <f t="shared" si="66"/>
        <v>65.900000000000006</v>
      </c>
      <c r="T18">
        <f t="shared" si="67"/>
        <v>6.0346223300772204</v>
      </c>
      <c r="U18">
        <f t="shared" si="61"/>
        <v>54.072358155753101</v>
      </c>
      <c r="V18">
        <f t="shared" si="62"/>
        <v>77.727641844246904</v>
      </c>
    </row>
    <row r="19">
      <c r="A19" s="15" t="s">
        <v>208</v>
      </c>
      <c r="B19" s="15"/>
      <c r="C19">
        <f t="shared" si="65"/>
        <v>81.299999999999997</v>
      </c>
      <c r="Q19">
        <f t="shared" si="63"/>
        <v>14</v>
      </c>
      <c r="R19">
        <f t="shared" si="64"/>
        <v>75</v>
      </c>
      <c r="S19">
        <f t="shared" si="66"/>
        <v>64.099999999999994</v>
      </c>
      <c r="T19">
        <f t="shared" si="67"/>
        <v>6.4451532177288096</v>
      </c>
      <c r="U19">
        <f t="shared" si="61"/>
        <v>51.467732441076201</v>
      </c>
      <c r="V19">
        <f t="shared" si="62"/>
        <v>76.732267558923795</v>
      </c>
    </row>
    <row r="20">
      <c r="Q20" s="14">
        <f t="shared" si="63"/>
        <v>15</v>
      </c>
      <c r="R20" s="14">
        <f t="shared" si="64"/>
        <v>88</v>
      </c>
      <c r="S20" s="14">
        <f t="shared" si="66"/>
        <v>70.5</v>
      </c>
      <c r="T20" s="14">
        <f t="shared" si="67"/>
        <v>6.3211285912142801</v>
      </c>
      <c r="U20" s="14">
        <f t="shared" si="61"/>
        <v>58.110816230258699</v>
      </c>
      <c r="V20" s="14">
        <f t="shared" si="62"/>
        <v>82.889183769741294</v>
      </c>
    </row>
    <row r="21">
      <c r="D21" s="15" t="s">
        <v>211</v>
      </c>
      <c r="E21" s="15" t="s">
        <v>212</v>
      </c>
      <c r="Q21" t="s">
        <v>217</v>
      </c>
      <c r="S21">
        <f t="shared" si="66"/>
        <v>81.299999999999997</v>
      </c>
      <c r="T21">
        <f t="shared" si="67"/>
        <v>5.22653486228368</v>
      </c>
      <c r="U21">
        <f t="shared" si="61"/>
        <v>71.056180410917193</v>
      </c>
      <c r="V21">
        <f t="shared" si="62"/>
        <v>91.543819589082801</v>
      </c>
    </row>
    <row r="22">
      <c r="D22" s="22">
        <f>AVERAGE(D4:D18)</f>
        <v>10.908333333333299</v>
      </c>
      <c r="E22" s="23">
        <f>AVERAGE(E4:E18)</f>
        <v>191.365833333333</v>
      </c>
    </row>
    <row r="23">
      <c r="R23" s="25" t="s">
        <v>211</v>
      </c>
      <c r="S23" s="25" t="s">
        <v>212</v>
      </c>
      <c r="T23" s="25" t="s">
        <v>218</v>
      </c>
    </row>
    <row r="24">
      <c r="D24">
        <f>SUMPRODUCT(ABS(B7:B18-C7:C18))/COUNT(B7:B18)</f>
        <v>10.908333333333299</v>
      </c>
      <c r="E24">
        <f>SUMPRODUCT((B7:B18-C7:C18)^2)/COUNT(B7:B18)</f>
        <v>191.365833333333</v>
      </c>
      <c r="R24" s="22">
        <f>SUMPRODUCT(ABS(R9:R20-S9:S20))/COUNT(S9:S20)</f>
        <v>10.908333333333299</v>
      </c>
      <c r="S24" s="26">
        <f>SUMXMY2(R9:R20,S9:S20)/COUNT(S9:S20)</f>
        <v>191.365833333333</v>
      </c>
      <c r="T24" s="23">
        <f>SUMPRODUCT(ABS(1-S9:S20/R9:R20))/COUNT(S9:S20)</f>
        <v>0.25988165458509699</v>
      </c>
    </row>
    <row r="25">
      <c r="E25">
        <f>SUMXMY2(B7:B18,C7:C18)/COUNT(B7:B18)</f>
        <v>191.365833333333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4" width="7.1785709999999998"/>
    <col customWidth="1" min="5" max="5" width="8"/>
    <col customWidth="1" min="6" max="6" width="4.5446429999999998"/>
  </cols>
  <sheetData>
    <row r="1">
      <c r="A1" s="1" t="s">
        <v>26</v>
      </c>
    </row>
    <row r="3">
      <c r="A3" s="4" t="s">
        <v>206</v>
      </c>
      <c r="B3" s="4" t="s">
        <v>207</v>
      </c>
      <c r="C3" s="4" t="s">
        <v>208</v>
      </c>
      <c r="D3" s="4" t="s">
        <v>209</v>
      </c>
      <c r="E3" s="4" t="s">
        <v>210</v>
      </c>
      <c r="G3" s="4" t="s">
        <v>219</v>
      </c>
    </row>
    <row r="4">
      <c r="A4" s="15">
        <v>1</v>
      </c>
      <c r="B4" s="15">
        <v>3</v>
      </c>
      <c r="G4" s="15">
        <v>0</v>
      </c>
    </row>
    <row r="5">
      <c r="A5" s="15">
        <f t="shared" ref="A5:A10" si="68">A4+1</f>
        <v>2</v>
      </c>
      <c r="B5" s="15">
        <v>5</v>
      </c>
      <c r="G5" s="15">
        <v>0.22375690607734972</v>
      </c>
    </row>
    <row r="6">
      <c r="A6" s="15">
        <f t="shared" si="68"/>
        <v>3</v>
      </c>
      <c r="B6" s="15">
        <v>9</v>
      </c>
      <c r="G6" s="17">
        <v>0.77624309392265023</v>
      </c>
    </row>
    <row r="7">
      <c r="A7" s="15">
        <f t="shared" si="68"/>
        <v>4</v>
      </c>
      <c r="B7" s="15">
        <v>20</v>
      </c>
      <c r="C7">
        <f t="shared" ref="C7:C10" si="69">SUMPRODUCT(B4:B6,G$4:G$6)</f>
        <v>8.1049723756906005</v>
      </c>
      <c r="D7">
        <f t="shared" ref="D7:D9" si="70">ABS(B7-C7)</f>
        <v>11.8950276243094</v>
      </c>
      <c r="E7">
        <f t="shared" ref="E7:E9" si="71">(B7-C7)^2</f>
        <v>141.49168218308401</v>
      </c>
      <c r="G7" s="27">
        <f>SUM(G4:G6)</f>
        <v>1</v>
      </c>
    </row>
    <row r="8">
      <c r="A8" s="15">
        <f t="shared" si="68"/>
        <v>5</v>
      </c>
      <c r="B8" s="15">
        <v>12</v>
      </c>
      <c r="C8">
        <f t="shared" si="69"/>
        <v>17.538674033149199</v>
      </c>
      <c r="D8">
        <f t="shared" si="70"/>
        <v>5.5386740331492001</v>
      </c>
      <c r="E8">
        <f t="shared" si="71"/>
        <v>30.6769100454812</v>
      </c>
    </row>
    <row r="9">
      <c r="A9" s="15">
        <f t="shared" si="68"/>
        <v>6</v>
      </c>
      <c r="B9" s="15">
        <v>17</v>
      </c>
      <c r="C9">
        <f t="shared" si="69"/>
        <v>13.790055248618801</v>
      </c>
      <c r="D9">
        <f t="shared" si="70"/>
        <v>3.2099447513812001</v>
      </c>
      <c r="E9">
        <f t="shared" si="71"/>
        <v>10.3037453069197</v>
      </c>
    </row>
    <row r="10">
      <c r="A10" s="15">
        <f t="shared" si="68"/>
        <v>7</v>
      </c>
      <c r="B10" s="15">
        <v>22</v>
      </c>
      <c r="C10">
        <f t="shared" si="69"/>
        <v>15.8812154696133</v>
      </c>
      <c r="D10">
        <f t="shared" ref="D10:D18" si="72">ABS(B10-C10)</f>
        <v>6.1187845303866997</v>
      </c>
      <c r="E10">
        <f t="shared" ref="E10:E18" si="73">(B10-C10)^2</f>
        <v>37.439524129299599</v>
      </c>
    </row>
    <row r="11">
      <c r="A11" s="15">
        <f t="shared" ref="A11:A18" si="74">A10+1</f>
        <v>8</v>
      </c>
      <c r="B11" s="15">
        <v>23</v>
      </c>
      <c r="C11">
        <f t="shared" ref="C11:C12" si="75">SUMPRODUCT(B8:B10,G$4:G$6)</f>
        <v>20.881215469613299</v>
      </c>
      <c r="D11">
        <f t="shared" si="72"/>
        <v>2.1187845303867001</v>
      </c>
      <c r="E11">
        <f t="shared" si="73"/>
        <v>4.4892478862059901</v>
      </c>
    </row>
    <row r="12">
      <c r="A12" s="15">
        <f t="shared" si="74"/>
        <v>9</v>
      </c>
      <c r="B12" s="15">
        <v>51</v>
      </c>
      <c r="C12">
        <f t="shared" si="75"/>
        <v>22.776243093922702</v>
      </c>
      <c r="D12">
        <f t="shared" si="72"/>
        <v>28.223756906077298</v>
      </c>
      <c r="E12">
        <f t="shared" si="73"/>
        <v>796.58045389334598</v>
      </c>
    </row>
    <row r="13">
      <c r="A13" s="15">
        <f t="shared" si="74"/>
        <v>10</v>
      </c>
      <c r="B13" s="15">
        <v>41</v>
      </c>
      <c r="C13">
        <f t="shared" ref="C13:C18" si="76">SUMPRODUCT(B10:B12,G$4:G$6)</f>
        <v>44.734806629834203</v>
      </c>
      <c r="D13">
        <f t="shared" si="72"/>
        <v>3.7348066298342002</v>
      </c>
      <c r="E13">
        <f t="shared" si="73"/>
        <v>13.9487805622535</v>
      </c>
    </row>
    <row r="14">
      <c r="A14" s="15">
        <f t="shared" si="74"/>
        <v>11</v>
      </c>
      <c r="B14" s="15">
        <v>56</v>
      </c>
      <c r="C14">
        <f t="shared" si="76"/>
        <v>43.237569060773502</v>
      </c>
      <c r="D14">
        <f t="shared" si="72"/>
        <v>12.762430939226499</v>
      </c>
      <c r="E14">
        <f t="shared" si="73"/>
        <v>162.87964347852599</v>
      </c>
    </row>
    <row r="15">
      <c r="A15" s="15">
        <f t="shared" si="74"/>
        <v>12</v>
      </c>
      <c r="B15" s="15">
        <v>75</v>
      </c>
      <c r="C15">
        <f t="shared" si="76"/>
        <v>52.6436464088398</v>
      </c>
      <c r="D15">
        <f t="shared" si="72"/>
        <v>22.3563535911602</v>
      </c>
      <c r="E15">
        <f t="shared" si="73"/>
        <v>499.806545892982</v>
      </c>
    </row>
    <row r="16">
      <c r="A16" s="15">
        <f t="shared" si="74"/>
        <v>13</v>
      </c>
      <c r="B16" s="15">
        <v>60</v>
      </c>
      <c r="C16">
        <f t="shared" si="76"/>
        <v>70.748618784530393</v>
      </c>
      <c r="D16">
        <f t="shared" si="72"/>
        <v>10.7486187845304</v>
      </c>
      <c r="E16">
        <f t="shared" si="73"/>
        <v>115.53280577516</v>
      </c>
    </row>
    <row r="17">
      <c r="A17" s="15">
        <f t="shared" si="74"/>
        <v>14</v>
      </c>
      <c r="B17" s="15">
        <v>75</v>
      </c>
      <c r="C17">
        <f t="shared" si="76"/>
        <v>63.3563535911603</v>
      </c>
      <c r="D17">
        <f t="shared" si="72"/>
        <v>11.6436464088397</v>
      </c>
      <c r="E17">
        <f t="shared" si="73"/>
        <v>135.574501694086</v>
      </c>
    </row>
    <row r="18">
      <c r="A18" s="17">
        <f t="shared" si="74"/>
        <v>15</v>
      </c>
      <c r="B18" s="17">
        <v>88</v>
      </c>
      <c r="C18" s="14">
        <f t="shared" si="76"/>
        <v>71.6436464088398</v>
      </c>
      <c r="D18" s="14">
        <f t="shared" si="72"/>
        <v>16.3563535911602</v>
      </c>
      <c r="E18" s="14">
        <f t="shared" si="73"/>
        <v>267.53030279905897</v>
      </c>
    </row>
    <row r="20">
      <c r="D20" s="15" t="s">
        <v>211</v>
      </c>
      <c r="E20" s="15" t="s">
        <v>212</v>
      </c>
    </row>
    <row r="21">
      <c r="D21" s="22">
        <f>AVERAGE(D4:D18)</f>
        <v>11.2255985267035</v>
      </c>
      <c r="E21" s="23">
        <f>AVERAGE(E4:E18)</f>
        <v>184.68784530386699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220</v>
      </c>
    </row>
    <row r="3">
      <c r="A3" s="4" t="s">
        <v>206</v>
      </c>
      <c r="B3" s="4" t="s">
        <v>207</v>
      </c>
      <c r="C3" s="4" t="s">
        <v>208</v>
      </c>
      <c r="D3" s="4" t="s">
        <v>209</v>
      </c>
      <c r="E3" s="4" t="s">
        <v>210</v>
      </c>
    </row>
    <row r="4">
      <c r="A4" s="15">
        <v>1</v>
      </c>
      <c r="B4" s="15">
        <v>3</v>
      </c>
      <c r="C4">
        <f>B4</f>
        <v>3</v>
      </c>
    </row>
    <row r="5">
      <c r="A5" s="15">
        <f t="shared" ref="A5:A10" si="77">A4+1</f>
        <v>2</v>
      </c>
      <c r="B5" s="15">
        <v>5</v>
      </c>
      <c r="C5">
        <f t="shared" ref="C5:C10" si="78">C4+B$21*(B4-C4)</f>
        <v>3</v>
      </c>
      <c r="D5">
        <f t="shared" ref="D5:D9" si="79">ABS(B5-C5)</f>
        <v>2</v>
      </c>
      <c r="E5">
        <f t="shared" ref="E5:E9" si="80">(B5-C5)^2</f>
        <v>4</v>
      </c>
    </row>
    <row r="6">
      <c r="A6" s="15">
        <f t="shared" si="77"/>
        <v>3</v>
      </c>
      <c r="B6" s="15">
        <v>9</v>
      </c>
      <c r="C6">
        <f t="shared" si="78"/>
        <v>3.7999999999999998</v>
      </c>
      <c r="D6">
        <f t="shared" si="79"/>
        <v>5.2000000000000002</v>
      </c>
      <c r="E6">
        <f t="shared" si="80"/>
        <v>27.039999999999999</v>
      </c>
    </row>
    <row r="7">
      <c r="A7" s="15">
        <f t="shared" si="77"/>
        <v>4</v>
      </c>
      <c r="B7" s="15">
        <v>20</v>
      </c>
      <c r="C7">
        <f t="shared" si="78"/>
        <v>5.8799999999999999</v>
      </c>
      <c r="D7">
        <f t="shared" si="79"/>
        <v>14.119999999999999</v>
      </c>
      <c r="E7">
        <f t="shared" si="80"/>
        <v>199.37440000000001</v>
      </c>
    </row>
    <row r="8">
      <c r="A8" s="15">
        <f t="shared" si="77"/>
        <v>5</v>
      </c>
      <c r="B8" s="15">
        <v>12</v>
      </c>
      <c r="C8">
        <f t="shared" si="78"/>
        <v>11.528</v>
      </c>
      <c r="D8">
        <f t="shared" si="79"/>
        <v>0.47199999999999998</v>
      </c>
      <c r="E8">
        <f t="shared" si="80"/>
        <v>0.22278400000000001</v>
      </c>
    </row>
    <row r="9">
      <c r="A9" s="15">
        <f t="shared" si="77"/>
        <v>6</v>
      </c>
      <c r="B9" s="15">
        <v>17</v>
      </c>
      <c r="C9">
        <f t="shared" si="78"/>
        <v>11.716799999999999</v>
      </c>
      <c r="D9">
        <f t="shared" si="79"/>
        <v>5.2831999999999999</v>
      </c>
      <c r="E9">
        <f t="shared" si="80"/>
        <v>27.912202239999999</v>
      </c>
    </row>
    <row r="10">
      <c r="A10" s="15">
        <f t="shared" si="77"/>
        <v>7</v>
      </c>
      <c r="B10" s="15">
        <v>22</v>
      </c>
      <c r="C10">
        <f t="shared" si="78"/>
        <v>13.830080000000001</v>
      </c>
      <c r="D10">
        <f t="shared" ref="D10:D18" si="81">ABS(B10-C10)</f>
        <v>8.1699199999999994</v>
      </c>
      <c r="E10">
        <f t="shared" ref="E10:E18" si="82">(B10-C10)^2</f>
        <v>66.747592806399993</v>
      </c>
    </row>
    <row r="11">
      <c r="A11" s="15">
        <f t="shared" ref="A11:A18" si="83">A10+1</f>
        <v>8</v>
      </c>
      <c r="B11" s="15">
        <v>23</v>
      </c>
      <c r="C11">
        <f t="shared" ref="C11:C19" si="84">C10+B$21*(B10-C10)</f>
        <v>17.098047999999999</v>
      </c>
      <c r="D11">
        <f t="shared" si="81"/>
        <v>5.9019519999999996</v>
      </c>
      <c r="E11">
        <f t="shared" si="82"/>
        <v>34.833037410304001</v>
      </c>
    </row>
    <row r="12">
      <c r="A12" s="15">
        <f t="shared" si="83"/>
        <v>9</v>
      </c>
      <c r="B12" s="15">
        <v>51</v>
      </c>
      <c r="C12">
        <f t="shared" si="84"/>
        <v>19.458828799999999</v>
      </c>
      <c r="D12">
        <f t="shared" si="81"/>
        <v>31.541171200000001</v>
      </c>
      <c r="E12">
        <f t="shared" si="82"/>
        <v>994.84548066771004</v>
      </c>
    </row>
    <row r="13">
      <c r="A13" s="15">
        <f t="shared" si="83"/>
        <v>10</v>
      </c>
      <c r="B13" s="15">
        <v>41</v>
      </c>
      <c r="C13">
        <f t="shared" si="84"/>
        <v>32.075297280000001</v>
      </c>
      <c r="D13">
        <f t="shared" si="81"/>
        <v>8.9247027200000009</v>
      </c>
      <c r="E13">
        <f t="shared" si="82"/>
        <v>79.650318640375403</v>
      </c>
    </row>
    <row r="14">
      <c r="A14" s="15">
        <f t="shared" si="83"/>
        <v>11</v>
      </c>
      <c r="B14" s="15">
        <v>56</v>
      </c>
      <c r="C14">
        <f t="shared" si="84"/>
        <v>35.645178368000003</v>
      </c>
      <c r="D14">
        <f t="shared" si="81"/>
        <v>20.354821632</v>
      </c>
      <c r="E14">
        <f t="shared" si="82"/>
        <v>414.31876367053502</v>
      </c>
    </row>
    <row r="15">
      <c r="A15" s="15">
        <f t="shared" si="83"/>
        <v>12</v>
      </c>
      <c r="B15" s="15">
        <v>75</v>
      </c>
      <c r="C15">
        <f t="shared" si="84"/>
        <v>43.787107020800001</v>
      </c>
      <c r="D15">
        <f t="shared" si="81"/>
        <v>31.212892979199999</v>
      </c>
      <c r="E15">
        <f t="shared" si="82"/>
        <v>974.24468813099304</v>
      </c>
    </row>
    <row r="16">
      <c r="A16" s="15">
        <f t="shared" si="83"/>
        <v>13</v>
      </c>
      <c r="B16" s="15">
        <v>60</v>
      </c>
      <c r="C16">
        <f t="shared" si="84"/>
        <v>56.272264212480003</v>
      </c>
      <c r="D16">
        <f t="shared" si="81"/>
        <v>3.7277357875199999</v>
      </c>
      <c r="E16">
        <f t="shared" si="82"/>
        <v>13.8960141015574</v>
      </c>
    </row>
    <row r="17">
      <c r="A17" s="15">
        <f t="shared" si="83"/>
        <v>14</v>
      </c>
      <c r="B17" s="15">
        <v>75</v>
      </c>
      <c r="C17">
        <f t="shared" si="84"/>
        <v>57.763358527488002</v>
      </c>
      <c r="D17">
        <f t="shared" si="81"/>
        <v>17.236641472512002</v>
      </c>
      <c r="E17">
        <f t="shared" si="82"/>
        <v>297.101809251921</v>
      </c>
    </row>
    <row r="18">
      <c r="A18" s="17">
        <f t="shared" si="83"/>
        <v>15</v>
      </c>
      <c r="B18" s="17">
        <v>88</v>
      </c>
      <c r="C18" s="14">
        <f t="shared" si="84"/>
        <v>64.658015116492805</v>
      </c>
      <c r="D18" s="14">
        <f t="shared" si="81"/>
        <v>23.341984883507202</v>
      </c>
      <c r="E18" s="14">
        <f t="shared" si="82"/>
        <v>544.84825830187901</v>
      </c>
    </row>
    <row r="19">
      <c r="A19" s="15">
        <v>16</v>
      </c>
      <c r="C19">
        <f t="shared" si="84"/>
        <v>73.994809069895695</v>
      </c>
    </row>
    <row r="20">
      <c r="B20" s="15" t="s">
        <v>203</v>
      </c>
      <c r="D20" s="15" t="s">
        <v>211</v>
      </c>
      <c r="E20" s="15" t="s">
        <v>212</v>
      </c>
    </row>
    <row r="21">
      <c r="B21" s="16">
        <v>0.40000000000000002</v>
      </c>
      <c r="D21" s="22">
        <f>AVERAGE(D4:D18)</f>
        <v>12.677644476767099</v>
      </c>
      <c r="E21" s="23">
        <f>AVERAGE(E4:E18)</f>
        <v>262.78823923011998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7.5446429999999998"/>
    <col customWidth="1" min="3" max="3" width="5.4553570000000002"/>
  </cols>
  <sheetData>
    <row r="1">
      <c r="A1" s="1" t="s">
        <v>221</v>
      </c>
    </row>
    <row r="3">
      <c r="A3" s="4" t="s">
        <v>206</v>
      </c>
      <c r="B3" s="4" t="s">
        <v>207</v>
      </c>
    </row>
    <row r="4">
      <c r="A4" s="15">
        <v>1</v>
      </c>
      <c r="B4" s="15">
        <v>3</v>
      </c>
      <c r="D4" t="e">
        <v>#N/A</v>
      </c>
      <c r="E4" t="e">
        <v>#N/A</v>
      </c>
      <c r="N4" t="e">
        <v>#N/A</v>
      </c>
      <c r="O4" t="e">
        <v>#N/A</v>
      </c>
    </row>
    <row r="5">
      <c r="A5" s="15">
        <f t="shared" ref="A5:A10" si="85">A4+1</f>
        <v>2</v>
      </c>
      <c r="B5" s="15">
        <v>5</v>
      </c>
      <c r="D5">
        <f>B4</f>
        <v>3</v>
      </c>
      <c r="E5" t="e">
        <v>#N/A</v>
      </c>
      <c r="N5">
        <f>B4</f>
        <v>3</v>
      </c>
      <c r="O5" t="e">
        <v>#N/A</v>
      </c>
    </row>
    <row r="6">
      <c r="A6" s="15">
        <f t="shared" si="85"/>
        <v>3</v>
      </c>
      <c r="B6" s="15">
        <v>9</v>
      </c>
      <c r="D6">
        <f t="shared" ref="D6:D10" si="86">0.4*B5+0.6*D5</f>
        <v>3.7999999999999998</v>
      </c>
      <c r="E6" t="e">
        <v>#N/A</v>
      </c>
      <c r="N6">
        <f t="shared" ref="N6:N10" si="87">0.7*B5+0.3*N5</f>
        <v>4.4000000000000004</v>
      </c>
      <c r="O6" t="e">
        <v>#N/A</v>
      </c>
    </row>
    <row r="7">
      <c r="A7" s="15">
        <f t="shared" si="85"/>
        <v>4</v>
      </c>
      <c r="B7" s="15">
        <v>20</v>
      </c>
      <c r="D7">
        <f t="shared" si="86"/>
        <v>5.8799999999999999</v>
      </c>
      <c r="E7" t="e">
        <v>#N/A</v>
      </c>
      <c r="N7">
        <f t="shared" si="87"/>
        <v>7.6200000000000001</v>
      </c>
      <c r="O7" t="e">
        <v>#N/A</v>
      </c>
    </row>
    <row r="8">
      <c r="A8" s="15">
        <f t="shared" si="85"/>
        <v>5</v>
      </c>
      <c r="B8" s="15">
        <v>12</v>
      </c>
      <c r="D8">
        <f t="shared" si="86"/>
        <v>11.528</v>
      </c>
      <c r="E8">
        <f t="shared" ref="E8:E10" si="88">SQRT(SUMXMY2(B5:B7,D5:D7)/3)</f>
        <v>8.7638347770824598</v>
      </c>
      <c r="N8">
        <f t="shared" si="87"/>
        <v>16.286000000000001</v>
      </c>
      <c r="O8">
        <f t="shared" ref="O8:O10" si="89">SQRT(SUMXMY2(B5:B7,N5:N7)/3)</f>
        <v>7.7119906638947597</v>
      </c>
    </row>
    <row r="9">
      <c r="A9" s="15">
        <f t="shared" si="85"/>
        <v>6</v>
      </c>
      <c r="B9" s="15">
        <v>17</v>
      </c>
      <c r="D9">
        <f t="shared" si="86"/>
        <v>11.716799999999999</v>
      </c>
      <c r="E9">
        <f t="shared" si="88"/>
        <v>8.6917045508921902</v>
      </c>
      <c r="N9">
        <f t="shared" si="87"/>
        <v>13.2858</v>
      </c>
      <c r="O9">
        <f t="shared" si="89"/>
        <v>8.0165286751810498</v>
      </c>
    </row>
    <row r="10">
      <c r="A10" s="15">
        <f t="shared" si="85"/>
        <v>7</v>
      </c>
      <c r="B10" s="15">
        <v>22</v>
      </c>
      <c r="D10">
        <f t="shared" si="86"/>
        <v>13.830080000000001</v>
      </c>
      <c r="E10">
        <f t="shared" si="88"/>
        <v>8.7084132929024491</v>
      </c>
      <c r="N10">
        <f t="shared" si="87"/>
        <v>15.88574</v>
      </c>
      <c r="O10">
        <f t="shared" si="89"/>
        <v>7.8619225307808804</v>
      </c>
    </row>
    <row r="11">
      <c r="A11" s="15">
        <f t="shared" ref="A11:A18" si="90">A10+1</f>
        <v>8</v>
      </c>
      <c r="B11" s="15">
        <v>23</v>
      </c>
      <c r="D11">
        <f t="shared" ref="D11:D18" si="91">0.4*B10+0.6*D10</f>
        <v>17.098047999999999</v>
      </c>
      <c r="E11">
        <f t="shared" ref="E11:E12" si="92">SQRT(SUMXMY2(B8:B10,D8:D10)/3)</f>
        <v>5.6238355549215697</v>
      </c>
      <c r="N11">
        <f t="shared" ref="N11:N18" si="93">0.7*B10+0.3*N10</f>
        <v>20.165721999999999</v>
      </c>
      <c r="O11">
        <f t="shared" ref="O11:O12" si="94">SQRT(SUMXMY2(B8:B10,N8:N10)/3)</f>
        <v>4.8148815488233998</v>
      </c>
    </row>
    <row r="12">
      <c r="A12" s="15">
        <f t="shared" si="90"/>
        <v>9</v>
      </c>
      <c r="B12" s="15">
        <v>51</v>
      </c>
      <c r="D12">
        <f t="shared" si="91"/>
        <v>19.458828799999999</v>
      </c>
      <c r="E12">
        <f t="shared" si="92"/>
        <v>6.5699526243016404</v>
      </c>
      <c r="N12">
        <f t="shared" si="93"/>
        <v>22.149716600000001</v>
      </c>
      <c r="O12">
        <f t="shared" si="94"/>
        <v>4.4426939563319001</v>
      </c>
    </row>
    <row r="13">
      <c r="A13" s="15">
        <f t="shared" si="90"/>
        <v>10</v>
      </c>
      <c r="B13" s="15">
        <v>41</v>
      </c>
      <c r="D13">
        <f t="shared" si="91"/>
        <v>32.075297280000001</v>
      </c>
      <c r="E13">
        <f t="shared" ref="E13:E18" si="95">SQRT(SUMXMY2(B10:B12,D10:D12)/3)</f>
        <v>19.117410135653898</v>
      </c>
      <c r="N13">
        <f t="shared" si="93"/>
        <v>42.344914979999999</v>
      </c>
      <c r="O13">
        <f t="shared" ref="O13:O18" si="96">SQRT(SUMXMY2(B10:B12,N10:N12)/3)</f>
        <v>17.105127490406701</v>
      </c>
    </row>
    <row r="14">
      <c r="A14" s="15">
        <f t="shared" si="90"/>
        <v>11</v>
      </c>
      <c r="B14" s="15">
        <v>56</v>
      </c>
      <c r="D14">
        <f t="shared" si="91"/>
        <v>35.645178368000003</v>
      </c>
      <c r="E14">
        <f t="shared" si="95"/>
        <v>19.229567829416499</v>
      </c>
      <c r="N14">
        <f t="shared" si="93"/>
        <v>41.403474494000001</v>
      </c>
      <c r="O14">
        <f t="shared" si="96"/>
        <v>16.754907543214799</v>
      </c>
    </row>
    <row r="15">
      <c r="A15" s="15">
        <f t="shared" si="90"/>
        <v>12</v>
      </c>
      <c r="B15" s="15">
        <v>75</v>
      </c>
      <c r="D15">
        <f t="shared" si="91"/>
        <v>43.787107020800001</v>
      </c>
      <c r="E15">
        <f t="shared" si="95"/>
        <v>22.2771524435434</v>
      </c>
      <c r="N15">
        <f t="shared" si="93"/>
        <v>51.6210423482</v>
      </c>
      <c r="O15">
        <f t="shared" si="96"/>
        <v>18.6833812554638</v>
      </c>
    </row>
    <row r="16">
      <c r="A16" s="15">
        <f t="shared" si="90"/>
        <v>13</v>
      </c>
      <c r="B16" s="15">
        <v>60</v>
      </c>
      <c r="D16">
        <f t="shared" si="91"/>
        <v>56.272264212480003</v>
      </c>
      <c r="E16">
        <f t="shared" si="95"/>
        <v>22.1224905954845</v>
      </c>
      <c r="N16">
        <f t="shared" si="93"/>
        <v>67.986312704460005</v>
      </c>
      <c r="O16">
        <f t="shared" si="96"/>
        <v>15.931551651104099</v>
      </c>
    </row>
    <row r="17">
      <c r="A17" s="15">
        <f t="shared" si="90"/>
        <v>14</v>
      </c>
      <c r="B17" s="15">
        <v>75</v>
      </c>
      <c r="D17">
        <f t="shared" si="91"/>
        <v>57.763358527488002</v>
      </c>
      <c r="E17">
        <f t="shared" si="95"/>
        <v>21.621435859682499</v>
      </c>
      <c r="N17">
        <f t="shared" si="93"/>
        <v>62.395893811337999</v>
      </c>
      <c r="O17">
        <f t="shared" si="96"/>
        <v>16.567190551864702</v>
      </c>
    </row>
    <row r="18">
      <c r="A18" s="17">
        <f t="shared" si="90"/>
        <v>15</v>
      </c>
      <c r="B18" s="17">
        <v>88</v>
      </c>
      <c r="D18">
        <f t="shared" si="91"/>
        <v>64.658015116492805</v>
      </c>
      <c r="E18">
        <f t="shared" si="95"/>
        <v>20.6981682883975</v>
      </c>
      <c r="N18">
        <f t="shared" si="93"/>
        <v>71.218768143401405</v>
      </c>
      <c r="O18">
        <f t="shared" si="96"/>
        <v>16.012706874158301</v>
      </c>
    </row>
    <row r="20">
      <c r="D20" t="s">
        <v>222</v>
      </c>
      <c r="E20">
        <v>0.40000000000000002</v>
      </c>
      <c r="N20" t="s">
        <v>203</v>
      </c>
      <c r="O20">
        <v>0.29999999999999999</v>
      </c>
    </row>
    <row r="21">
      <c r="N21" t="s">
        <v>223</v>
      </c>
    </row>
    <row r="22">
      <c r="D22" t="s">
        <v>224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3" zoomScale="100" workbookViewId="0">
      <selection activeCell="A1" activeCellId="0" sqref="A1"/>
    </sheetView>
  </sheetViews>
  <sheetFormatPr defaultRowHeight="14.25"/>
  <sheetData>
    <row r="1">
      <c r="A1" s="1" t="s">
        <v>225</v>
      </c>
    </row>
    <row r="3">
      <c r="A3" s="4" t="s">
        <v>206</v>
      </c>
      <c r="B3" s="4" t="s">
        <v>207</v>
      </c>
      <c r="D3" t="s">
        <v>226</v>
      </c>
    </row>
    <row r="4">
      <c r="A4" s="15">
        <v>1</v>
      </c>
      <c r="B4" s="15">
        <v>3</v>
      </c>
    </row>
    <row r="5">
      <c r="A5" s="15">
        <f t="shared" ref="A5:A10" si="97">A4+1</f>
        <v>2</v>
      </c>
      <c r="B5" s="15">
        <v>5</v>
      </c>
      <c r="D5" s="28" t="s">
        <v>203</v>
      </c>
      <c r="E5" s="18">
        <v>0.40000000000000002</v>
      </c>
    </row>
    <row r="6">
      <c r="A6" s="15">
        <f t="shared" si="97"/>
        <v>3</v>
      </c>
      <c r="B6" s="15">
        <v>9</v>
      </c>
    </row>
    <row r="7">
      <c r="A7" s="15">
        <f t="shared" si="97"/>
        <v>4</v>
      </c>
      <c r="B7" s="15">
        <v>20</v>
      </c>
      <c r="D7" s="24" t="str">
        <f t="shared" ref="D7:D13" si="98">A3</f>
        <v>t</v>
      </c>
      <c r="E7" s="24" t="str">
        <f t="shared" ref="E7:E13" si="99">B3</f>
        <v>y</v>
      </c>
      <c r="F7" s="24" t="s">
        <v>193</v>
      </c>
    </row>
    <row r="8">
      <c r="A8" s="15">
        <f t="shared" si="97"/>
        <v>5</v>
      </c>
      <c r="B8" s="15">
        <v>12</v>
      </c>
      <c r="D8" s="15">
        <f t="shared" si="98"/>
        <v>1</v>
      </c>
      <c r="E8" s="15">
        <f t="shared" si="99"/>
        <v>3</v>
      </c>
      <c r="F8">
        <f>E8</f>
        <v>3</v>
      </c>
    </row>
    <row r="9">
      <c r="A9" s="15">
        <f t="shared" si="97"/>
        <v>6</v>
      </c>
      <c r="B9" s="15">
        <v>17</v>
      </c>
      <c r="D9" s="15">
        <f t="shared" si="98"/>
        <v>2</v>
      </c>
      <c r="E9" s="15">
        <f t="shared" si="99"/>
        <v>5</v>
      </c>
      <c r="F9">
        <f t="shared" ref="F9:F10" si="100">F8+$E$5*(E8-F8)</f>
        <v>3</v>
      </c>
    </row>
    <row r="10">
      <c r="A10" s="15">
        <f t="shared" si="97"/>
        <v>7</v>
      </c>
      <c r="B10" s="15">
        <v>22</v>
      </c>
      <c r="D10" s="15">
        <f t="shared" si="98"/>
        <v>3</v>
      </c>
      <c r="E10" s="15">
        <f t="shared" si="99"/>
        <v>9</v>
      </c>
      <c r="F10">
        <f t="shared" si="100"/>
        <v>3.7999999999999998</v>
      </c>
    </row>
    <row r="11">
      <c r="A11" s="15">
        <f t="shared" ref="A11:A18" si="101">A10+1</f>
        <v>8</v>
      </c>
      <c r="B11" s="15">
        <v>23</v>
      </c>
      <c r="D11" s="15">
        <f t="shared" si="98"/>
        <v>4</v>
      </c>
      <c r="E11" s="15">
        <f t="shared" si="99"/>
        <v>20</v>
      </c>
      <c r="F11">
        <f t="shared" ref="F11:F23" si="102">F10+$E$5*(E10-F10)</f>
        <v>5.8799999999999999</v>
      </c>
    </row>
    <row r="12">
      <c r="A12" s="15">
        <f t="shared" si="101"/>
        <v>9</v>
      </c>
      <c r="B12" s="15">
        <v>51</v>
      </c>
      <c r="D12" s="15">
        <f t="shared" si="98"/>
        <v>5</v>
      </c>
      <c r="E12" s="15">
        <f t="shared" si="99"/>
        <v>12</v>
      </c>
      <c r="F12">
        <f t="shared" si="102"/>
        <v>11.528</v>
      </c>
    </row>
    <row r="13">
      <c r="A13" s="15">
        <f t="shared" si="101"/>
        <v>10</v>
      </c>
      <c r="B13" s="15">
        <v>41</v>
      </c>
      <c r="D13" s="15">
        <f t="shared" si="98"/>
        <v>6</v>
      </c>
      <c r="E13" s="15">
        <f t="shared" si="99"/>
        <v>17</v>
      </c>
      <c r="F13">
        <f t="shared" si="102"/>
        <v>11.716799999999999</v>
      </c>
    </row>
    <row r="14">
      <c r="A14" s="15">
        <f t="shared" si="101"/>
        <v>11</v>
      </c>
      <c r="B14" s="15">
        <v>56</v>
      </c>
      <c r="D14" s="15">
        <f t="shared" ref="D14:D22" si="103">A10</f>
        <v>7</v>
      </c>
      <c r="E14" s="15">
        <f t="shared" ref="E14:E22" si="104">B10</f>
        <v>22</v>
      </c>
      <c r="F14">
        <f t="shared" si="102"/>
        <v>13.830080000000001</v>
      </c>
    </row>
    <row r="15">
      <c r="A15" s="15">
        <f t="shared" si="101"/>
        <v>12</v>
      </c>
      <c r="B15" s="15">
        <v>75</v>
      </c>
      <c r="D15" s="15">
        <f t="shared" si="103"/>
        <v>8</v>
      </c>
      <c r="E15" s="15">
        <f t="shared" si="104"/>
        <v>23</v>
      </c>
      <c r="F15">
        <f t="shared" si="102"/>
        <v>17.098047999999999</v>
      </c>
    </row>
    <row r="16">
      <c r="A16" s="15">
        <f t="shared" si="101"/>
        <v>13</v>
      </c>
      <c r="B16" s="15">
        <v>60</v>
      </c>
      <c r="D16" s="15">
        <f t="shared" si="103"/>
        <v>9</v>
      </c>
      <c r="E16" s="15">
        <f t="shared" si="104"/>
        <v>51</v>
      </c>
      <c r="F16">
        <f t="shared" si="102"/>
        <v>19.458828799999999</v>
      </c>
    </row>
    <row r="17">
      <c r="A17" s="15">
        <f t="shared" si="101"/>
        <v>14</v>
      </c>
      <c r="B17" s="15">
        <v>75</v>
      </c>
      <c r="D17" s="15">
        <f t="shared" si="103"/>
        <v>10</v>
      </c>
      <c r="E17" s="15">
        <f t="shared" si="104"/>
        <v>41</v>
      </c>
      <c r="F17">
        <f t="shared" si="102"/>
        <v>32.075297280000001</v>
      </c>
    </row>
    <row r="18">
      <c r="A18" s="17">
        <f t="shared" si="101"/>
        <v>15</v>
      </c>
      <c r="B18" s="17">
        <v>88</v>
      </c>
      <c r="D18" s="15">
        <f t="shared" si="103"/>
        <v>11</v>
      </c>
      <c r="E18" s="15">
        <f t="shared" si="104"/>
        <v>56</v>
      </c>
      <c r="F18">
        <f t="shared" si="102"/>
        <v>35.645178368000003</v>
      </c>
    </row>
    <row r="19">
      <c r="D19" s="15">
        <f t="shared" si="103"/>
        <v>12</v>
      </c>
      <c r="E19" s="15">
        <f t="shared" si="104"/>
        <v>75</v>
      </c>
      <c r="F19">
        <f t="shared" si="102"/>
        <v>43.787107020800001</v>
      </c>
    </row>
    <row r="20">
      <c r="D20" s="15">
        <f t="shared" si="103"/>
        <v>13</v>
      </c>
      <c r="E20" s="15">
        <f t="shared" si="104"/>
        <v>60</v>
      </c>
      <c r="F20">
        <f t="shared" si="102"/>
        <v>56.272264212480003</v>
      </c>
    </row>
    <row r="21">
      <c r="D21" s="15">
        <f t="shared" si="103"/>
        <v>14</v>
      </c>
      <c r="E21" s="15">
        <f t="shared" si="104"/>
        <v>75</v>
      </c>
      <c r="F21">
        <f t="shared" si="102"/>
        <v>57.763358527488002</v>
      </c>
    </row>
    <row r="22">
      <c r="D22" s="17">
        <f t="shared" si="103"/>
        <v>15</v>
      </c>
      <c r="E22" s="17">
        <f t="shared" si="104"/>
        <v>88</v>
      </c>
      <c r="F22" s="14">
        <f t="shared" si="102"/>
        <v>64.658015116492805</v>
      </c>
    </row>
    <row r="23">
      <c r="D23" s="15" t="s">
        <v>217</v>
      </c>
      <c r="E23" s="15"/>
      <c r="F23">
        <f t="shared" si="102"/>
        <v>73.994809069895695</v>
      </c>
    </row>
    <row r="25">
      <c r="E25" s="25" t="s">
        <v>211</v>
      </c>
      <c r="F25" s="25" t="s">
        <v>212</v>
      </c>
      <c r="G25" s="25" t="s">
        <v>218</v>
      </c>
    </row>
    <row r="26">
      <c r="E26" s="22">
        <f>SUMPRODUCT(ABS(E9:E22-F9:F22))/COUNT(F9:F22)</f>
        <v>12.677644476767099</v>
      </c>
      <c r="F26" s="26">
        <f>SUMXMY2(E9:E22,F9:F22)/COUNT(F9:F22)</f>
        <v>262.78823923011902</v>
      </c>
      <c r="G26" s="23">
        <f>SUMPRODUCT(ABS(1-F9:F22/E9:E22))/COUNT(F9:F22)</f>
        <v>0.34534540801177899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220</v>
      </c>
      <c r="G1" s="1" t="s">
        <v>227</v>
      </c>
      <c r="V1" s="1" t="s">
        <v>220</v>
      </c>
    </row>
    <row r="3">
      <c r="A3" s="4" t="s">
        <v>206</v>
      </c>
      <c r="B3" s="4" t="s">
        <v>207</v>
      </c>
      <c r="C3" s="4" t="s">
        <v>208</v>
      </c>
      <c r="D3" s="4" t="s">
        <v>209</v>
      </c>
      <c r="E3" s="4" t="s">
        <v>210</v>
      </c>
      <c r="G3" s="4" t="s">
        <v>206</v>
      </c>
      <c r="H3" s="4" t="s">
        <v>207</v>
      </c>
      <c r="I3" s="4" t="s">
        <v>208</v>
      </c>
      <c r="J3" s="4" t="s">
        <v>209</v>
      </c>
      <c r="K3" s="4" t="s">
        <v>210</v>
      </c>
      <c r="V3" s="4" t="s">
        <v>206</v>
      </c>
      <c r="W3" s="4" t="s">
        <v>207</v>
      </c>
      <c r="X3" s="4" t="s">
        <v>228</v>
      </c>
      <c r="Y3" s="4" t="s">
        <v>209</v>
      </c>
      <c r="Z3" s="4" t="s">
        <v>210</v>
      </c>
    </row>
    <row r="4">
      <c r="A4" s="15">
        <v>1</v>
      </c>
      <c r="B4" s="15">
        <v>3</v>
      </c>
      <c r="C4">
        <f>B4</f>
        <v>3</v>
      </c>
      <c r="G4" s="15">
        <v>1</v>
      </c>
      <c r="H4" s="15">
        <v>3</v>
      </c>
      <c r="I4">
        <f>H4</f>
        <v>3</v>
      </c>
      <c r="V4" s="15">
        <v>1</v>
      </c>
      <c r="W4" s="15">
        <v>3</v>
      </c>
      <c r="X4">
        <f>W4</f>
        <v>3</v>
      </c>
    </row>
    <row r="5">
      <c r="A5" s="15">
        <f t="shared" ref="A5:A10" si="105">A4+1</f>
        <v>2</v>
      </c>
      <c r="B5" s="15">
        <v>5</v>
      </c>
      <c r="C5">
        <f t="shared" ref="C5:C10" si="106">A$21*B4+(1-A$21)*C4</f>
        <v>3</v>
      </c>
      <c r="D5">
        <f t="shared" ref="D5:D9" si="107">ABS(B5-C5)</f>
        <v>2</v>
      </c>
      <c r="E5">
        <f t="shared" ref="E5:E9" si="108">(B5-C5)^2</f>
        <v>4</v>
      </c>
      <c r="G5" s="15">
        <f t="shared" ref="G5:G10" si="109">G4+1</f>
        <v>2</v>
      </c>
      <c r="H5" s="15">
        <v>5</v>
      </c>
      <c r="I5">
        <f t="shared" ref="I5:I10" si="110">I4+G$21*(H4-I4)</f>
        <v>3</v>
      </c>
      <c r="J5">
        <f t="shared" ref="J5:J9" si="111">ABS(H5-I5)</f>
        <v>2</v>
      </c>
      <c r="K5">
        <f t="shared" ref="K5:K9" si="112">(H5-I5)^2</f>
        <v>4</v>
      </c>
      <c r="V5" s="15">
        <f t="shared" ref="V5:V10" si="113">V4+1</f>
        <v>2</v>
      </c>
      <c r="W5" s="15">
        <v>5</v>
      </c>
      <c r="X5">
        <f t="shared" ref="X5:X10" si="114">X4+V$21*(W4-X4)</f>
        <v>3</v>
      </c>
      <c r="Y5">
        <f t="shared" ref="Y5:Y9" si="115">ABS(W5-X5)</f>
        <v>2</v>
      </c>
      <c r="Z5">
        <f t="shared" ref="Z5:Z9" si="116">(W5-X5)^2</f>
        <v>4</v>
      </c>
    </row>
    <row r="6">
      <c r="A6" s="15">
        <f t="shared" si="105"/>
        <v>3</v>
      </c>
      <c r="B6" s="15">
        <v>9</v>
      </c>
      <c r="C6">
        <f t="shared" si="106"/>
        <v>3.7999999999999998</v>
      </c>
      <c r="D6">
        <f t="shared" si="107"/>
        <v>5.2000000000000002</v>
      </c>
      <c r="E6">
        <f t="shared" si="108"/>
        <v>27.039999999999999</v>
      </c>
      <c r="G6" s="15">
        <f t="shared" si="109"/>
        <v>3</v>
      </c>
      <c r="H6" s="15">
        <v>9</v>
      </c>
      <c r="I6">
        <f t="shared" si="110"/>
        <v>4.3124106471336701</v>
      </c>
      <c r="J6">
        <f t="shared" si="111"/>
        <v>4.6875893528663299</v>
      </c>
      <c r="K6">
        <f t="shared" si="112"/>
        <v>21.973493941105801</v>
      </c>
      <c r="V6" s="15">
        <f t="shared" si="113"/>
        <v>3</v>
      </c>
      <c r="W6" s="15">
        <v>9</v>
      </c>
      <c r="X6">
        <f t="shared" si="114"/>
        <v>4.6878141782271099</v>
      </c>
      <c r="Y6">
        <f t="shared" si="115"/>
        <v>4.3121858217728901</v>
      </c>
      <c r="Z6">
        <f t="shared" si="116"/>
        <v>18.5949465614991</v>
      </c>
    </row>
    <row r="7">
      <c r="A7" s="15">
        <f t="shared" si="105"/>
        <v>4</v>
      </c>
      <c r="B7" s="15">
        <v>20</v>
      </c>
      <c r="C7">
        <f t="shared" si="106"/>
        <v>5.8799999999999999</v>
      </c>
      <c r="D7">
        <f t="shared" si="107"/>
        <v>14.119999999999999</v>
      </c>
      <c r="E7">
        <f t="shared" si="108"/>
        <v>199.37440000000001</v>
      </c>
      <c r="G7" s="15">
        <f t="shared" si="109"/>
        <v>4</v>
      </c>
      <c r="H7" s="15">
        <v>20</v>
      </c>
      <c r="I7">
        <f t="shared" si="110"/>
        <v>7.3884317351797799</v>
      </c>
      <c r="J7">
        <f t="shared" si="111"/>
        <v>12.6115682648202</v>
      </c>
      <c r="K7">
        <f t="shared" si="112"/>
        <v>159.05165409822001</v>
      </c>
      <c r="V7" s="15">
        <f t="shared" si="113"/>
        <v>4</v>
      </c>
      <c r="W7" s="15">
        <v>20</v>
      </c>
      <c r="X7">
        <f t="shared" si="114"/>
        <v>8.3268983627962196</v>
      </c>
      <c r="Y7">
        <f t="shared" si="115"/>
        <v>11.6731016372038</v>
      </c>
      <c r="Z7">
        <f t="shared" si="116"/>
        <v>136.26130183249001</v>
      </c>
    </row>
    <row r="8">
      <c r="A8" s="15">
        <f t="shared" si="105"/>
        <v>5</v>
      </c>
      <c r="B8" s="15">
        <v>12</v>
      </c>
      <c r="C8">
        <f t="shared" si="106"/>
        <v>11.528</v>
      </c>
      <c r="D8">
        <f t="shared" si="107"/>
        <v>0.47199999999999998</v>
      </c>
      <c r="E8">
        <f t="shared" si="108"/>
        <v>0.22278400000000001</v>
      </c>
      <c r="G8" s="15">
        <f t="shared" si="109"/>
        <v>5</v>
      </c>
      <c r="H8" s="15">
        <v>12</v>
      </c>
      <c r="I8">
        <f t="shared" si="110"/>
        <v>15.6642099690814</v>
      </c>
      <c r="J8">
        <f t="shared" si="111"/>
        <v>3.6642099690814001</v>
      </c>
      <c r="K8">
        <f t="shared" si="112"/>
        <v>13.4264346975155</v>
      </c>
      <c r="V8" s="15">
        <f t="shared" si="113"/>
        <v>5</v>
      </c>
      <c r="W8" s="15">
        <v>12</v>
      </c>
      <c r="X8">
        <f t="shared" si="114"/>
        <v>18.1779115863756</v>
      </c>
      <c r="Y8">
        <f t="shared" si="115"/>
        <v>6.1779115863755996</v>
      </c>
      <c r="Z8">
        <f t="shared" si="116"/>
        <v>38.166591569073901</v>
      </c>
    </row>
    <row r="9">
      <c r="A9" s="15">
        <f t="shared" si="105"/>
        <v>6</v>
      </c>
      <c r="B9" s="15">
        <v>17</v>
      </c>
      <c r="C9">
        <f t="shared" si="106"/>
        <v>11.716799999999999</v>
      </c>
      <c r="D9">
        <f t="shared" si="107"/>
        <v>5.2831999999999999</v>
      </c>
      <c r="E9">
        <f t="shared" si="108"/>
        <v>27.912202239999999</v>
      </c>
      <c r="G9" s="15">
        <f t="shared" si="109"/>
        <v>6</v>
      </c>
      <c r="H9" s="15">
        <v>17</v>
      </c>
      <c r="I9">
        <f t="shared" si="110"/>
        <v>13.2597358807035</v>
      </c>
      <c r="J9">
        <f t="shared" si="111"/>
        <v>3.7402641192965</v>
      </c>
      <c r="K9">
        <f t="shared" si="112"/>
        <v>13.989575682096801</v>
      </c>
      <c r="V9" s="15">
        <f t="shared" si="113"/>
        <v>6</v>
      </c>
      <c r="W9" s="15">
        <v>17</v>
      </c>
      <c r="X9">
        <f t="shared" si="114"/>
        <v>12.9643282027165</v>
      </c>
      <c r="Y9">
        <f t="shared" si="115"/>
        <v>4.0356717972835003</v>
      </c>
      <c r="Z9">
        <f t="shared" si="116"/>
        <v>16.286646855389399</v>
      </c>
    </row>
    <row r="10">
      <c r="A10" s="15">
        <f t="shared" si="105"/>
        <v>7</v>
      </c>
      <c r="B10" s="15">
        <v>22</v>
      </c>
      <c r="C10">
        <f t="shared" si="106"/>
        <v>13.830080000000001</v>
      </c>
      <c r="D10">
        <f t="shared" ref="D10:D18" si="117">ABS(B10-C10)</f>
        <v>8.1699199999999994</v>
      </c>
      <c r="E10">
        <f t="shared" ref="E10:E18" si="118">(B10-C10)^2</f>
        <v>66.747592806399993</v>
      </c>
      <c r="G10" s="15">
        <f t="shared" si="109"/>
        <v>7</v>
      </c>
      <c r="H10" s="15">
        <v>22</v>
      </c>
      <c r="I10">
        <f t="shared" si="110"/>
        <v>15.7141171073319</v>
      </c>
      <c r="J10">
        <f t="shared" ref="J10:J18" si="119">ABS(H10-I10)</f>
        <v>6.2858828926681003</v>
      </c>
      <c r="K10">
        <f t="shared" ref="K10:K18" si="120">(H10-I10)^2</f>
        <v>39.5123237403375</v>
      </c>
      <c r="V10" s="15">
        <f t="shared" si="113"/>
        <v>7</v>
      </c>
      <c r="W10" s="15">
        <v>22</v>
      </c>
      <c r="X10">
        <f t="shared" si="114"/>
        <v>16.370060241779701</v>
      </c>
      <c r="Y10">
        <f t="shared" ref="Y10:Y18" si="121">ABS(W10-X10)</f>
        <v>5.6299397582203001</v>
      </c>
      <c r="Z10">
        <f t="shared" ref="Z10:Z18" si="122">(W10-X10)^2</f>
        <v>31.696221681189702</v>
      </c>
    </row>
    <row r="11">
      <c r="A11" s="15">
        <f t="shared" ref="A11:A18" si="123">A10+1</f>
        <v>8</v>
      </c>
      <c r="B11" s="15">
        <v>23</v>
      </c>
      <c r="C11">
        <f t="shared" ref="C11:C18" si="124">A$21*B10+(1-A$21)*C10</f>
        <v>17.098047999999999</v>
      </c>
      <c r="D11">
        <f t="shared" si="117"/>
        <v>5.9019519999999996</v>
      </c>
      <c r="E11">
        <f t="shared" si="118"/>
        <v>34.833037410304001</v>
      </c>
      <c r="G11" s="15">
        <f t="shared" ref="G11:G18" si="125">G10+1</f>
        <v>8</v>
      </c>
      <c r="H11" s="15">
        <v>23</v>
      </c>
      <c r="I11">
        <f t="shared" ref="I11:I18" si="126">I10+G$21*(H10-I10)</f>
        <v>19.838946924818401</v>
      </c>
      <c r="J11">
        <f t="shared" si="119"/>
        <v>3.1610530751815999</v>
      </c>
      <c r="K11">
        <f t="shared" si="120"/>
        <v>9.9922565441150493</v>
      </c>
      <c r="V11" s="15">
        <f t="shared" ref="V11:V18" si="127">V10+1</f>
        <v>8</v>
      </c>
      <c r="W11" s="15">
        <v>23</v>
      </c>
      <c r="X11">
        <f t="shared" ref="X11:X18" si="128">X10+V$21*(W10-X10)</f>
        <v>21.1212063150241</v>
      </c>
      <c r="Y11">
        <f t="shared" si="121"/>
        <v>1.8787936849758999</v>
      </c>
      <c r="Z11">
        <f t="shared" si="122"/>
        <v>3.52986571070532</v>
      </c>
    </row>
    <row r="12">
      <c r="A12" s="15">
        <f t="shared" si="123"/>
        <v>9</v>
      </c>
      <c r="B12" s="15">
        <v>51</v>
      </c>
      <c r="C12">
        <f t="shared" si="124"/>
        <v>19.458828799999999</v>
      </c>
      <c r="D12">
        <f t="shared" si="117"/>
        <v>31.541171200000001</v>
      </c>
      <c r="E12">
        <f t="shared" si="118"/>
        <v>994.84548066771004</v>
      </c>
      <c r="G12" s="15">
        <f t="shared" si="125"/>
        <v>9</v>
      </c>
      <c r="H12" s="15">
        <v>51</v>
      </c>
      <c r="I12">
        <f t="shared" si="126"/>
        <v>21.913246780829901</v>
      </c>
      <c r="J12">
        <f t="shared" si="119"/>
        <v>29.086753219170099</v>
      </c>
      <c r="K12">
        <f t="shared" si="120"/>
        <v>846.03921283290197</v>
      </c>
      <c r="V12" s="15">
        <f t="shared" si="127"/>
        <v>9</v>
      </c>
      <c r="W12" s="15">
        <v>51</v>
      </c>
      <c r="X12">
        <f t="shared" si="128"/>
        <v>22.706733624757099</v>
      </c>
      <c r="Y12">
        <f t="shared" si="121"/>
        <v>28.293266375242901</v>
      </c>
      <c r="Z12">
        <f t="shared" si="122"/>
        <v>800.50892218045101</v>
      </c>
    </row>
    <row r="13">
      <c r="A13" s="15">
        <f t="shared" si="123"/>
        <v>10</v>
      </c>
      <c r="B13" s="15">
        <v>41</v>
      </c>
      <c r="C13">
        <f t="shared" si="124"/>
        <v>32.075297280000001</v>
      </c>
      <c r="D13">
        <f t="shared" si="117"/>
        <v>8.9247027200000009</v>
      </c>
      <c r="E13">
        <f t="shared" si="118"/>
        <v>79.650318640375403</v>
      </c>
      <c r="G13" s="15">
        <f t="shared" si="125"/>
        <v>10</v>
      </c>
      <c r="H13" s="15">
        <v>41</v>
      </c>
      <c r="I13">
        <f t="shared" si="126"/>
        <v>41.000129088524197</v>
      </c>
      <c r="J13">
        <f t="shared" si="119"/>
        <v>1.2908852419700001e-04</v>
      </c>
      <c r="K13">
        <f t="shared" si="120"/>
        <v>1.666384707935946e-08</v>
      </c>
      <c r="V13" s="15">
        <f t="shared" si="127"/>
        <v>10</v>
      </c>
      <c r="W13" s="15">
        <v>41</v>
      </c>
      <c r="X13">
        <f t="shared" si="128"/>
        <v>46.583621693002797</v>
      </c>
      <c r="Y13">
        <f t="shared" si="121"/>
        <v>5.5836216930028</v>
      </c>
      <c r="Z13">
        <f t="shared" si="122"/>
        <v>31.1768312105715</v>
      </c>
    </row>
    <row r="14">
      <c r="A14" s="15">
        <f t="shared" si="123"/>
        <v>11</v>
      </c>
      <c r="B14" s="15">
        <v>56</v>
      </c>
      <c r="C14">
        <f t="shared" si="124"/>
        <v>35.645178368000003</v>
      </c>
      <c r="D14">
        <f t="shared" si="117"/>
        <v>20.354821632</v>
      </c>
      <c r="E14">
        <f t="shared" si="118"/>
        <v>414.31876367053502</v>
      </c>
      <c r="G14" s="15">
        <f t="shared" si="125"/>
        <v>11</v>
      </c>
      <c r="H14" s="15">
        <v>56</v>
      </c>
      <c r="I14">
        <f t="shared" si="126"/>
        <v>41.000044379947397</v>
      </c>
      <c r="J14">
        <f t="shared" si="119"/>
        <v>14.999955620052599</v>
      </c>
      <c r="K14">
        <f t="shared" si="120"/>
        <v>224.998668603548</v>
      </c>
      <c r="V14" s="15">
        <f t="shared" si="127"/>
        <v>11</v>
      </c>
      <c r="W14" s="15">
        <v>56</v>
      </c>
      <c r="X14">
        <f t="shared" si="128"/>
        <v>41.871563763349499</v>
      </c>
      <c r="Y14">
        <f t="shared" si="121"/>
        <v>14.128436236650501</v>
      </c>
      <c r="Z14">
        <f t="shared" si="122"/>
        <v>199.612710493099</v>
      </c>
    </row>
    <row r="15">
      <c r="A15" s="15">
        <f t="shared" si="123"/>
        <v>12</v>
      </c>
      <c r="B15" s="15">
        <v>75</v>
      </c>
      <c r="C15">
        <f t="shared" si="124"/>
        <v>43.787107020800001</v>
      </c>
      <c r="D15">
        <f t="shared" si="117"/>
        <v>31.212892979199999</v>
      </c>
      <c r="E15">
        <f t="shared" si="118"/>
        <v>974.24468813099304</v>
      </c>
      <c r="G15" s="15">
        <f t="shared" si="125"/>
        <v>12</v>
      </c>
      <c r="H15" s="15">
        <v>75</v>
      </c>
      <c r="I15">
        <f t="shared" si="126"/>
        <v>50.843095111092197</v>
      </c>
      <c r="J15">
        <f t="shared" si="119"/>
        <v>24.1569048889078</v>
      </c>
      <c r="K15">
        <f t="shared" si="120"/>
        <v>583.55605381173802</v>
      </c>
      <c r="V15" s="15">
        <f t="shared" si="127"/>
        <v>12</v>
      </c>
      <c r="W15" s="15">
        <v>75</v>
      </c>
      <c r="X15">
        <f t="shared" si="128"/>
        <v>53.794651261547699</v>
      </c>
      <c r="Y15">
        <f t="shared" si="121"/>
        <v>21.205348738452301</v>
      </c>
      <c r="Z15">
        <f t="shared" si="122"/>
        <v>449.666815119381</v>
      </c>
    </row>
    <row r="16">
      <c r="A16" s="15">
        <f t="shared" si="123"/>
        <v>13</v>
      </c>
      <c r="B16" s="15">
        <v>60</v>
      </c>
      <c r="C16">
        <f t="shared" si="124"/>
        <v>56.272264212480003</v>
      </c>
      <c r="D16">
        <f t="shared" si="117"/>
        <v>3.7277357875199999</v>
      </c>
      <c r="E16">
        <f t="shared" si="118"/>
        <v>13.8960141015574</v>
      </c>
      <c r="G16" s="15">
        <f t="shared" si="125"/>
        <v>13</v>
      </c>
      <c r="H16" s="15">
        <v>60</v>
      </c>
      <c r="I16">
        <f t="shared" si="126"/>
        <v>66.694984700091297</v>
      </c>
      <c r="J16">
        <f t="shared" si="119"/>
        <v>6.6949847000913003</v>
      </c>
      <c r="K16">
        <f t="shared" si="120"/>
        <v>44.822820134456599</v>
      </c>
      <c r="V16" s="15">
        <f t="shared" si="127"/>
        <v>13</v>
      </c>
      <c r="W16" s="15">
        <v>60</v>
      </c>
      <c r="X16">
        <f t="shared" si="128"/>
        <v>71.689995389052797</v>
      </c>
      <c r="Y16">
        <f t="shared" si="121"/>
        <v>11.6899953890528</v>
      </c>
      <c r="Z16">
        <f t="shared" si="122"/>
        <v>136.655992196076</v>
      </c>
    </row>
    <row r="17">
      <c r="A17" s="15">
        <f t="shared" si="123"/>
        <v>14</v>
      </c>
      <c r="B17" s="15">
        <v>75</v>
      </c>
      <c r="C17">
        <f t="shared" si="124"/>
        <v>57.763358527488002</v>
      </c>
      <c r="D17">
        <f t="shared" si="117"/>
        <v>17.236641472512002</v>
      </c>
      <c r="E17">
        <f t="shared" si="118"/>
        <v>297.101809251921</v>
      </c>
      <c r="G17" s="15">
        <f t="shared" si="125"/>
        <v>14</v>
      </c>
      <c r="H17" s="15">
        <v>75</v>
      </c>
      <c r="I17">
        <f t="shared" si="126"/>
        <v>62.301700098692898</v>
      </c>
      <c r="J17">
        <f t="shared" si="119"/>
        <v>12.698299901307101</v>
      </c>
      <c r="K17">
        <f t="shared" si="120"/>
        <v>161.246820383536</v>
      </c>
      <c r="V17" s="15">
        <f t="shared" si="127"/>
        <v>14</v>
      </c>
      <c r="W17" s="15">
        <v>75</v>
      </c>
      <c r="X17">
        <f t="shared" si="128"/>
        <v>61.824725408526398</v>
      </c>
      <c r="Y17">
        <f t="shared" si="121"/>
        <v>13.175274591473601</v>
      </c>
      <c r="Z17">
        <f t="shared" si="122"/>
        <v>173.58786056073001</v>
      </c>
    </row>
    <row r="18">
      <c r="A18" s="17">
        <f t="shared" si="123"/>
        <v>15</v>
      </c>
      <c r="B18" s="17">
        <v>88</v>
      </c>
      <c r="C18" s="14">
        <f t="shared" si="124"/>
        <v>64.658015116492805</v>
      </c>
      <c r="D18" s="14">
        <f t="shared" si="117"/>
        <v>23.341984883507202</v>
      </c>
      <c r="E18" s="14">
        <f t="shared" si="118"/>
        <v>544.84825830187901</v>
      </c>
      <c r="G18" s="17">
        <f t="shared" si="125"/>
        <v>15</v>
      </c>
      <c r="H18" s="17">
        <v>88</v>
      </c>
      <c r="I18" s="14">
        <f t="shared" si="126"/>
        <v>70.634392094178907</v>
      </c>
      <c r="J18" s="14">
        <f t="shared" si="119"/>
        <v>17.365607905821101</v>
      </c>
      <c r="K18" s="14">
        <f t="shared" si="120"/>
        <v>301.56433793871599</v>
      </c>
      <c r="V18" s="17">
        <f t="shared" si="127"/>
        <v>15</v>
      </c>
      <c r="W18" s="17">
        <v>88</v>
      </c>
      <c r="X18" s="14">
        <f t="shared" si="128"/>
        <v>72.943433037288699</v>
      </c>
      <c r="Y18" s="14">
        <f t="shared" si="121"/>
        <v>15.056566962711299</v>
      </c>
      <c r="Z18" s="14">
        <f t="shared" si="122"/>
        <v>226.70020870260899</v>
      </c>
    </row>
    <row r="19"/>
    <row r="20">
      <c r="A20" s="15" t="s">
        <v>203</v>
      </c>
      <c r="C20" s="15" t="s">
        <v>211</v>
      </c>
      <c r="D20" s="15" t="s">
        <v>212</v>
      </c>
      <c r="E20" s="15" t="s">
        <v>229</v>
      </c>
      <c r="G20" s="15" t="s">
        <v>203</v>
      </c>
      <c r="I20" s="15" t="s">
        <v>211</v>
      </c>
      <c r="J20" s="15" t="s">
        <v>212</v>
      </c>
      <c r="K20" s="15" t="s">
        <v>229</v>
      </c>
      <c r="V20" s="15" t="s">
        <v>203</v>
      </c>
      <c r="X20" s="15" t="s">
        <v>211</v>
      </c>
      <c r="Y20" s="15" t="s">
        <v>212</v>
      </c>
      <c r="Z20" s="15" t="s">
        <v>229</v>
      </c>
    </row>
    <row r="21">
      <c r="A21" s="16">
        <v>0.40000000000000002</v>
      </c>
      <c r="C21" s="22">
        <f>AVERAGE(D4:D18)</f>
        <v>12.677644476767099</v>
      </c>
      <c r="D21" s="26">
        <f>AVERAGE(E4:E18)</f>
        <v>262.78823923011998</v>
      </c>
      <c r="E21" s="23">
        <f>SQRT(D21)</f>
        <v>16.210744561250699</v>
      </c>
      <c r="G21" s="16">
        <v>0.65620532356683725</v>
      </c>
      <c r="I21" s="22">
        <f>AVERAGE(J4:J18)</f>
        <v>10.082371642699201</v>
      </c>
      <c r="J21" s="26">
        <f>AVERAGE(K4:K18)</f>
        <v>173.15526088749701</v>
      </c>
      <c r="K21" s="23">
        <f>SQRT(J21)</f>
        <v>13.158847247669399</v>
      </c>
      <c r="V21" s="16">
        <v>0.84390708911355683</v>
      </c>
      <c r="X21" s="22">
        <f>AVERAGE(Y4:Y18)</f>
        <v>10.3457224480299</v>
      </c>
      <c r="Y21" s="26">
        <f>AVERAGE(Z4:Z18)</f>
        <v>161.888922476662</v>
      </c>
      <c r="Z21" s="23">
        <f>SQRT(Y21)</f>
        <v>12.7235577758999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6.0892860000000004"/>
    <col customWidth="1" min="4" max="4" width="6.2678570000000002"/>
  </cols>
  <sheetData>
    <row r="1">
      <c r="A1" s="1" t="s">
        <v>29</v>
      </c>
    </row>
    <row r="3">
      <c r="A3" s="29" t="s">
        <v>206</v>
      </c>
      <c r="B3" s="29" t="s">
        <v>207</v>
      </c>
      <c r="D3" t="s">
        <v>226</v>
      </c>
      <c r="H3" t="s">
        <v>230</v>
      </c>
      <c r="I3" s="18">
        <v>5.0000000000000003e-02</v>
      </c>
    </row>
    <row r="4">
      <c r="A4">
        <v>1</v>
      </c>
      <c r="B4">
        <v>3</v>
      </c>
    </row>
    <row r="5">
      <c r="A5">
        <f t="shared" ref="A5:A10" si="129">A4+1</f>
        <v>2</v>
      </c>
      <c r="B5">
        <v>5</v>
      </c>
      <c r="D5" s="28" t="s">
        <v>203</v>
      </c>
      <c r="E5" s="18">
        <v>0.65620679490174494</v>
      </c>
    </row>
    <row r="6">
      <c r="A6">
        <f t="shared" si="129"/>
        <v>3</v>
      </c>
      <c r="B6">
        <v>9</v>
      </c>
    </row>
    <row r="7">
      <c r="A7">
        <f t="shared" si="129"/>
        <v>4</v>
      </c>
      <c r="B7">
        <v>20</v>
      </c>
      <c r="D7" s="24" t="str">
        <f t="shared" ref="D7:D13" si="130">A3</f>
        <v>t</v>
      </c>
      <c r="E7" s="24" t="str">
        <f t="shared" ref="E7:E13" si="131">B3</f>
        <v>y</v>
      </c>
      <c r="F7" s="24" t="s">
        <v>193</v>
      </c>
      <c r="G7" s="24" t="s">
        <v>183</v>
      </c>
      <c r="H7" s="24" t="s">
        <v>215</v>
      </c>
      <c r="I7" s="24" t="s">
        <v>216</v>
      </c>
    </row>
    <row r="8">
      <c r="A8">
        <f t="shared" si="129"/>
        <v>5</v>
      </c>
      <c r="B8">
        <v>12</v>
      </c>
      <c r="D8" s="15">
        <f t="shared" si="130"/>
        <v>1</v>
      </c>
      <c r="E8" s="15">
        <f t="shared" si="131"/>
        <v>3</v>
      </c>
      <c r="F8">
        <f>E8</f>
        <v>3</v>
      </c>
    </row>
    <row r="9">
      <c r="A9">
        <f t="shared" si="129"/>
        <v>6</v>
      </c>
      <c r="B9">
        <v>17</v>
      </c>
      <c r="D9" s="15">
        <f t="shared" si="130"/>
        <v>2</v>
      </c>
      <c r="E9" s="15">
        <f t="shared" si="131"/>
        <v>5</v>
      </c>
      <c r="F9">
        <f t="shared" ref="F9:F10" si="132">F8+$E$5*(E8-F8)</f>
        <v>3</v>
      </c>
    </row>
    <row r="10">
      <c r="A10">
        <f t="shared" si="129"/>
        <v>7</v>
      </c>
      <c r="B10">
        <v>22</v>
      </c>
      <c r="D10" s="15">
        <f t="shared" si="130"/>
        <v>3</v>
      </c>
      <c r="E10" s="15">
        <f t="shared" si="131"/>
        <v>9</v>
      </c>
      <c r="F10">
        <f t="shared" si="132"/>
        <v>4.3124135898034899</v>
      </c>
      <c r="G10">
        <f>SQRT(SUMXMY2(E$9:E9,F$9:F9)/COUNT(F$9:F9))</f>
        <v>2</v>
      </c>
      <c r="H10">
        <f t="shared" ref="H10:H23" si="133">F10-G10*_xlfn.NORM.S.INV(1-I$3/2)</f>
        <v>0.39248581394365001</v>
      </c>
      <c r="I10">
        <f t="shared" ref="I10:I23" si="134">F10+G10*_xlfn.NORM.S.INV(1-I$3/2)</f>
        <v>8.2323413656633306</v>
      </c>
    </row>
    <row r="11">
      <c r="A11">
        <f t="shared" ref="A11:A18" si="135">A10+1</f>
        <v>8</v>
      </c>
      <c r="B11">
        <v>23</v>
      </c>
      <c r="D11" s="15">
        <f t="shared" si="130"/>
        <v>4</v>
      </c>
      <c r="E11" s="15">
        <f t="shared" si="131"/>
        <v>20</v>
      </c>
      <c r="F11">
        <f t="shared" ref="F11:F23" si="136">F10+$E$5*(E10-F10)</f>
        <v>7.3884396438635198</v>
      </c>
      <c r="G11">
        <f t="shared" ref="G11:G23" si="137">SQRT(SUMXMY2(E$9:E10,F$9:F10)/COUNT(F$9:F10))</f>
        <v>3.6037110284440801</v>
      </c>
      <c r="H11">
        <f t="shared" si="133"/>
        <v>0.32529616557833002</v>
      </c>
      <c r="I11">
        <f t="shared" si="134"/>
        <v>14.451583122148699</v>
      </c>
    </row>
    <row r="12">
      <c r="A12">
        <f t="shared" si="135"/>
        <v>9</v>
      </c>
      <c r="B12">
        <v>51</v>
      </c>
      <c r="D12" s="15">
        <f t="shared" si="130"/>
        <v>5</v>
      </c>
      <c r="E12" s="15">
        <f t="shared" si="131"/>
        <v>12</v>
      </c>
      <c r="F12">
        <f t="shared" si="136"/>
        <v>15.6642312438738</v>
      </c>
      <c r="G12">
        <f t="shared" si="137"/>
        <v>7.8533415599036998</v>
      </c>
      <c r="H12">
        <f t="shared" si="133"/>
        <v>0.27196538688330002</v>
      </c>
      <c r="I12">
        <f t="shared" si="134"/>
        <v>31.056497100864298</v>
      </c>
    </row>
    <row r="13">
      <c r="A13">
        <f t="shared" si="135"/>
        <v>10</v>
      </c>
      <c r="B13">
        <v>41</v>
      </c>
      <c r="D13" s="15">
        <f t="shared" si="130"/>
        <v>6</v>
      </c>
      <c r="E13" s="15">
        <f t="shared" si="131"/>
        <v>17</v>
      </c>
      <c r="F13">
        <f t="shared" si="136"/>
        <v>13.2597378035525</v>
      </c>
      <c r="G13">
        <f t="shared" si="137"/>
        <v>7.0436409544019396</v>
      </c>
      <c r="H13">
        <f t="shared" si="133"/>
        <v>-0.54554410661950004</v>
      </c>
      <c r="I13">
        <f t="shared" si="134"/>
        <v>27.065019713724499</v>
      </c>
    </row>
    <row r="14">
      <c r="A14">
        <f t="shared" si="135"/>
        <v>11</v>
      </c>
      <c r="B14">
        <v>56</v>
      </c>
      <c r="D14" s="15">
        <f t="shared" ref="D14:D22" si="138">A10</f>
        <v>7</v>
      </c>
      <c r="E14" s="15">
        <f t="shared" ref="E14:E22" si="139">B10</f>
        <v>22</v>
      </c>
      <c r="F14">
        <f t="shared" si="136"/>
        <v>15.714123271575501</v>
      </c>
      <c r="G14">
        <f t="shared" si="137"/>
        <v>6.5182984417144896</v>
      </c>
      <c r="H14">
        <f t="shared" si="133"/>
        <v>2.9384937150652002</v>
      </c>
      <c r="I14">
        <f t="shared" si="134"/>
        <v>28.489752828085798</v>
      </c>
    </row>
    <row r="15">
      <c r="A15">
        <f t="shared" si="135"/>
        <v>12</v>
      </c>
      <c r="B15">
        <v>75</v>
      </c>
      <c r="D15" s="15">
        <f t="shared" si="138"/>
        <v>8</v>
      </c>
      <c r="E15" s="15">
        <f t="shared" si="139"/>
        <v>23</v>
      </c>
      <c r="F15">
        <f t="shared" si="136"/>
        <v>19.838958292682399</v>
      </c>
      <c r="G15">
        <f t="shared" si="137"/>
        <v>6.4801404192763696</v>
      </c>
      <c r="H15">
        <f t="shared" si="133"/>
        <v>7.1381170821857003</v>
      </c>
      <c r="I15">
        <f t="shared" si="134"/>
        <v>32.539799503179097</v>
      </c>
    </row>
    <row r="16">
      <c r="A16">
        <f t="shared" si="135"/>
        <v>13</v>
      </c>
      <c r="B16">
        <v>60</v>
      </c>
      <c r="D16" s="15">
        <f t="shared" si="138"/>
        <v>9</v>
      </c>
      <c r="E16" s="15">
        <f t="shared" si="139"/>
        <v>51</v>
      </c>
      <c r="F16">
        <f t="shared" si="136"/>
        <v>21.913255339991998</v>
      </c>
      <c r="G16">
        <f t="shared" si="137"/>
        <v>6.1172531627081304</v>
      </c>
      <c r="H16">
        <f t="shared" si="133"/>
        <v>9.9236600477590002</v>
      </c>
      <c r="I16">
        <f t="shared" si="134"/>
        <v>33.902850632224997</v>
      </c>
    </row>
    <row r="17">
      <c r="A17">
        <f t="shared" si="135"/>
        <v>14</v>
      </c>
      <c r="B17">
        <v>75</v>
      </c>
      <c r="D17" s="15">
        <f t="shared" si="138"/>
        <v>10</v>
      </c>
      <c r="E17" s="15">
        <f t="shared" si="139"/>
        <v>41</v>
      </c>
      <c r="F17">
        <f t="shared" si="136"/>
        <v>41.000174827461301</v>
      </c>
      <c r="G17">
        <f t="shared" si="137"/>
        <v>11.7685184853125</v>
      </c>
      <c r="H17">
        <f t="shared" si="133"/>
        <v>17.934303581813101</v>
      </c>
      <c r="I17">
        <f t="shared" si="134"/>
        <v>64.066046073109504</v>
      </c>
    </row>
    <row r="18">
      <c r="A18" s="14">
        <f t="shared" si="135"/>
        <v>15</v>
      </c>
      <c r="B18" s="14">
        <v>88</v>
      </c>
      <c r="D18" s="15">
        <f t="shared" si="138"/>
        <v>11</v>
      </c>
      <c r="E18" s="15">
        <f t="shared" si="139"/>
        <v>56</v>
      </c>
      <c r="F18">
        <f t="shared" si="136"/>
        <v>41.000060104493301</v>
      </c>
      <c r="G18">
        <f t="shared" si="137"/>
        <v>11.095465634131401</v>
      </c>
      <c r="H18">
        <f t="shared" si="133"/>
        <v>19.253348141828301</v>
      </c>
      <c r="I18">
        <f t="shared" si="134"/>
        <v>62.746772067158297</v>
      </c>
    </row>
    <row r="19">
      <c r="D19" s="15">
        <f t="shared" si="138"/>
        <v>12</v>
      </c>
      <c r="E19" s="15">
        <f t="shared" si="139"/>
        <v>75</v>
      </c>
      <c r="F19">
        <f t="shared" si="136"/>
        <v>50.8431225870426</v>
      </c>
      <c r="G19">
        <f t="shared" si="137"/>
        <v>11.545485765495201</v>
      </c>
      <c r="H19">
        <f t="shared" si="133"/>
        <v>28.214387418063101</v>
      </c>
      <c r="I19">
        <f t="shared" si="134"/>
        <v>73.471857756022104</v>
      </c>
    </row>
    <row r="20">
      <c r="D20" s="15">
        <f t="shared" si="138"/>
        <v>13</v>
      </c>
      <c r="E20" s="15">
        <f t="shared" si="139"/>
        <v>60</v>
      </c>
      <c r="F20">
        <f t="shared" si="136"/>
        <v>66.695029689033703</v>
      </c>
      <c r="G20">
        <f t="shared" si="137"/>
        <v>13.1996458008855</v>
      </c>
      <c r="H20">
        <f t="shared" si="133"/>
        <v>40.824200585832301</v>
      </c>
      <c r="I20">
        <f t="shared" si="134"/>
        <v>92.565858792235105</v>
      </c>
    </row>
    <row r="21">
      <c r="D21" s="15">
        <f t="shared" si="138"/>
        <v>14</v>
      </c>
      <c r="E21" s="15">
        <f t="shared" si="139"/>
        <v>75</v>
      </c>
      <c r="F21">
        <f t="shared" si="136"/>
        <v>62.301705715020901</v>
      </c>
      <c r="G21">
        <f t="shared" si="137"/>
        <v>12.7846280238359</v>
      </c>
      <c r="H21">
        <f t="shared" si="133"/>
        <v>37.2442964676857</v>
      </c>
      <c r="I21">
        <f t="shared" si="134"/>
        <v>87.359114962356102</v>
      </c>
    </row>
    <row r="22">
      <c r="D22" s="17">
        <f t="shared" si="138"/>
        <v>15</v>
      </c>
      <c r="E22" s="17">
        <f t="shared" si="139"/>
        <v>88</v>
      </c>
      <c r="F22" s="14">
        <f t="shared" si="136"/>
        <v>70.634412708486195</v>
      </c>
      <c r="G22" s="14">
        <f t="shared" si="137"/>
        <v>12.778007676178399</v>
      </c>
      <c r="H22" s="14">
        <f t="shared" si="133"/>
        <v>45.589979103485199</v>
      </c>
      <c r="I22" s="14">
        <f t="shared" si="134"/>
        <v>95.678846313487199</v>
      </c>
    </row>
    <row r="23">
      <c r="D23" s="15" t="s">
        <v>217</v>
      </c>
      <c r="F23">
        <f t="shared" si="136"/>
        <v>82.029829086636894</v>
      </c>
      <c r="G23">
        <f t="shared" si="137"/>
        <v>13.1588396802338</v>
      </c>
      <c r="H23">
        <f t="shared" si="133"/>
        <v>56.238978506319398</v>
      </c>
      <c r="I23">
        <f t="shared" si="134"/>
        <v>107.82067966695401</v>
      </c>
    </row>
    <row r="25">
      <c r="E25" s="25" t="s">
        <v>211</v>
      </c>
      <c r="F25" s="25" t="s">
        <v>212</v>
      </c>
      <c r="G25" s="25" t="s">
        <v>218</v>
      </c>
    </row>
    <row r="26">
      <c r="E26" s="30">
        <f>SUMPRODUCT(ABS(E9:E22-F9:F22))/COUNT(F9:F22)</f>
        <v>10.082371907418301</v>
      </c>
      <c r="F26" s="26">
        <f>SUMXMY2(E9:E22,F9:F22)/COUNT(F9:F22)</f>
        <v>173.15506173009501</v>
      </c>
      <c r="G26" s="23">
        <f>SUMPRODUCT(ABS(1-F9:F22/E9:E22))/COUNT(F9:F22)</f>
        <v>0.29560416012041901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3" activeCellId="0" sqref="A3:B18"/>
    </sheetView>
  </sheetViews>
  <sheetFormatPr defaultRowHeight="14.25"/>
  <sheetData>
    <row r="1">
      <c r="A1" s="1" t="s">
        <v>35</v>
      </c>
    </row>
    <row r="3">
      <c r="A3" s="4" t="s">
        <v>206</v>
      </c>
      <c r="B3" s="4" t="s">
        <v>207</v>
      </c>
      <c r="C3" s="4" t="s">
        <v>231</v>
      </c>
      <c r="D3" s="4" t="s">
        <v>232</v>
      </c>
      <c r="E3" s="4" t="s">
        <v>208</v>
      </c>
      <c r="F3" s="4" t="s">
        <v>209</v>
      </c>
      <c r="G3" s="4" t="s">
        <v>210</v>
      </c>
      <c r="Q3" s="4" t="s">
        <v>206</v>
      </c>
      <c r="R3" s="4" t="s">
        <v>207</v>
      </c>
      <c r="S3" s="4" t="s">
        <v>208</v>
      </c>
    </row>
    <row r="4">
      <c r="A4" s="15">
        <v>1</v>
      </c>
      <c r="B4" s="15">
        <v>3</v>
      </c>
      <c r="C4" s="31">
        <f>B4</f>
        <v>3</v>
      </c>
      <c r="D4" s="31">
        <v>0</v>
      </c>
      <c r="Q4" s="15">
        <v>1</v>
      </c>
      <c r="R4" s="15">
        <v>3</v>
      </c>
    </row>
    <row r="5">
      <c r="A5" s="15">
        <f t="shared" ref="A5:A10" si="140">A4+1</f>
        <v>2</v>
      </c>
      <c r="B5" s="15">
        <v>5</v>
      </c>
      <c r="C5" s="31">
        <f t="shared" ref="C5:C9" si="141">B$21*B5+(1-B$21)*(C4+D4)</f>
        <v>3.7999999999999998</v>
      </c>
      <c r="D5" s="31">
        <f t="shared" ref="D5:D9" si="142">C$21*(C5-C4)+(1-C$21)*D4</f>
        <v>0.56000000000000005</v>
      </c>
      <c r="E5">
        <f t="shared" ref="E5:E10" si="143">C4+D4</f>
        <v>3</v>
      </c>
      <c r="F5">
        <f t="shared" ref="F5:F9" si="144">ABS(B5-E5)</f>
        <v>2</v>
      </c>
      <c r="G5">
        <f t="shared" ref="G5:G9" si="145">(B5-E5)^2</f>
        <v>4</v>
      </c>
      <c r="Q5" s="15">
        <f t="shared" ref="Q5:Q10" si="146">Q4+1</f>
        <v>2</v>
      </c>
      <c r="R5" s="15">
        <v>5</v>
      </c>
      <c r="S5">
        <f t="shared" ref="S5:S9" si="147">E5</f>
        <v>3</v>
      </c>
    </row>
    <row r="6">
      <c r="A6" s="15">
        <f t="shared" si="140"/>
        <v>3</v>
      </c>
      <c r="B6" s="15">
        <v>9</v>
      </c>
      <c r="C6" s="31">
        <f t="shared" si="141"/>
        <v>6.2160000000000002</v>
      </c>
      <c r="D6" s="31">
        <f t="shared" si="142"/>
        <v>1.8592</v>
      </c>
      <c r="E6">
        <f t="shared" si="143"/>
        <v>4.3600000000000003</v>
      </c>
      <c r="F6">
        <f t="shared" si="144"/>
        <v>4.6399999999999997</v>
      </c>
      <c r="G6">
        <f t="shared" si="145"/>
        <v>21.529599999999999</v>
      </c>
      <c r="Q6" s="15">
        <f t="shared" si="146"/>
        <v>3</v>
      </c>
      <c r="R6" s="15">
        <v>9</v>
      </c>
      <c r="S6">
        <f t="shared" si="147"/>
        <v>4.3600000000000003</v>
      </c>
    </row>
    <row r="7">
      <c r="A7" s="15">
        <f t="shared" si="140"/>
        <v>4</v>
      </c>
      <c r="B7" s="15">
        <v>20</v>
      </c>
      <c r="C7" s="31">
        <f t="shared" si="141"/>
        <v>12.84512</v>
      </c>
      <c r="D7" s="31">
        <f t="shared" si="142"/>
        <v>5.1981440000000001</v>
      </c>
      <c r="E7">
        <f t="shared" si="143"/>
        <v>8.0752000000000006</v>
      </c>
      <c r="F7">
        <f t="shared" si="144"/>
        <v>11.924799999999999</v>
      </c>
      <c r="G7">
        <f t="shared" si="145"/>
        <v>142.20085503999999</v>
      </c>
      <c r="Q7" s="15">
        <f t="shared" si="146"/>
        <v>4</v>
      </c>
      <c r="R7" s="15">
        <v>20</v>
      </c>
      <c r="S7">
        <f t="shared" si="147"/>
        <v>8.0752000000000006</v>
      </c>
    </row>
    <row r="8">
      <c r="A8" s="15">
        <f t="shared" si="140"/>
        <v>5</v>
      </c>
      <c r="B8" s="15">
        <v>12</v>
      </c>
      <c r="C8" s="31">
        <f t="shared" si="141"/>
        <v>15.6259584</v>
      </c>
      <c r="D8" s="31">
        <f t="shared" si="142"/>
        <v>3.5060300799999999</v>
      </c>
      <c r="E8">
        <f t="shared" si="143"/>
        <v>18.043264000000001</v>
      </c>
      <c r="F8">
        <f t="shared" si="144"/>
        <v>6.0432639999999997</v>
      </c>
      <c r="G8">
        <f t="shared" si="145"/>
        <v>36.521039773696003</v>
      </c>
      <c r="Q8" s="15">
        <f t="shared" si="146"/>
        <v>5</v>
      </c>
      <c r="R8" s="15">
        <v>12</v>
      </c>
      <c r="S8">
        <f t="shared" si="147"/>
        <v>18.043264000000001</v>
      </c>
    </row>
    <row r="9">
      <c r="A9" s="15">
        <f t="shared" si="140"/>
        <v>6</v>
      </c>
      <c r="B9" s="15">
        <v>17</v>
      </c>
      <c r="C9" s="31">
        <f t="shared" si="141"/>
        <v>18.279193088</v>
      </c>
      <c r="D9" s="31">
        <f t="shared" si="142"/>
        <v>2.9090733056000002</v>
      </c>
      <c r="E9">
        <f t="shared" si="143"/>
        <v>19.13198848</v>
      </c>
      <c r="F9">
        <f t="shared" si="144"/>
        <v>2.13198848</v>
      </c>
      <c r="G9">
        <f t="shared" si="145"/>
        <v>4.5453748788527104</v>
      </c>
      <c r="Q9" s="15">
        <f t="shared" si="146"/>
        <v>6</v>
      </c>
      <c r="R9" s="15">
        <v>17</v>
      </c>
      <c r="S9">
        <f t="shared" si="147"/>
        <v>19.13198848</v>
      </c>
    </row>
    <row r="10">
      <c r="A10" s="15">
        <f t="shared" si="140"/>
        <v>7</v>
      </c>
      <c r="B10" s="15">
        <v>22</v>
      </c>
      <c r="C10" s="31">
        <f>B$21*B10+(1-B$21)*(C9+D9)</f>
        <v>21.51295983616</v>
      </c>
      <c r="D10" s="31">
        <f>C$21*(C10-C9)+(1-C$21)*D9</f>
        <v>3.1363587153919998</v>
      </c>
      <c r="E10">
        <f t="shared" si="143"/>
        <v>21.188266393599999</v>
      </c>
      <c r="F10">
        <f t="shared" ref="F10:F18" si="148">ABS(B10-E10)</f>
        <v>0.81173360640000103</v>
      </c>
      <c r="G10">
        <f t="shared" ref="G10:G18" si="149">(B10-E10)^2</f>
        <v>0.658911447759152</v>
      </c>
      <c r="Q10" s="15">
        <f t="shared" si="146"/>
        <v>7</v>
      </c>
      <c r="R10" s="15">
        <v>22</v>
      </c>
      <c r="S10">
        <f t="shared" ref="S10:S18" si="150">E10</f>
        <v>21.188266393599999</v>
      </c>
    </row>
    <row r="11">
      <c r="A11" s="15">
        <f t="shared" ref="A11:A18" si="151">A10+1</f>
        <v>8</v>
      </c>
      <c r="B11" s="15">
        <v>23</v>
      </c>
      <c r="C11" s="31">
        <f t="shared" ref="C11:C18" si="152">B$21*B11+(1-B$21)*(C10+D10)</f>
        <v>23.989591130931199</v>
      </c>
      <c r="D11" s="31">
        <f t="shared" ref="D11:D18" si="153">C$21*(C11-C10)+(1-C$21)*D10</f>
        <v>2.6745495209574401</v>
      </c>
      <c r="E11">
        <f t="shared" ref="E11:E18" si="154">C10+D10</f>
        <v>24.649318551552</v>
      </c>
      <c r="F11">
        <f t="shared" si="148"/>
        <v>1.6493185515519999</v>
      </c>
      <c r="G11">
        <f t="shared" si="149"/>
        <v>2.72025168449359</v>
      </c>
      <c r="Q11" s="15">
        <f t="shared" ref="Q11:Q23" si="155">Q10+1</f>
        <v>8</v>
      </c>
      <c r="R11" s="15">
        <v>23</v>
      </c>
      <c r="S11">
        <f t="shared" si="150"/>
        <v>24.649318551552</v>
      </c>
    </row>
    <row r="12">
      <c r="A12" s="15">
        <f t="shared" si="151"/>
        <v>9</v>
      </c>
      <c r="B12" s="15">
        <v>51</v>
      </c>
      <c r="C12" s="31">
        <f t="shared" si="152"/>
        <v>36.398484391133202</v>
      </c>
      <c r="D12" s="31">
        <f t="shared" si="153"/>
        <v>9.4885901384286306</v>
      </c>
      <c r="E12">
        <f t="shared" si="154"/>
        <v>26.664140651888601</v>
      </c>
      <c r="F12">
        <f t="shared" si="148"/>
        <v>24.335859348111399</v>
      </c>
      <c r="G12">
        <f t="shared" si="149"/>
        <v>592.234050211061</v>
      </c>
      <c r="Q12" s="15">
        <f t="shared" si="155"/>
        <v>9</v>
      </c>
      <c r="R12" s="15">
        <v>51</v>
      </c>
      <c r="S12">
        <f t="shared" si="150"/>
        <v>26.664140651888601</v>
      </c>
    </row>
    <row r="13">
      <c r="A13" s="15">
        <f t="shared" si="151"/>
        <v>10</v>
      </c>
      <c r="B13" s="15">
        <v>41</v>
      </c>
      <c r="C13" s="31">
        <f t="shared" si="152"/>
        <v>43.932244717737099</v>
      </c>
      <c r="D13" s="31">
        <f t="shared" si="153"/>
        <v>8.1202092701513209</v>
      </c>
      <c r="E13">
        <f t="shared" si="154"/>
        <v>45.887074529561801</v>
      </c>
      <c r="F13">
        <f t="shared" si="148"/>
        <v>4.8870745295617999</v>
      </c>
      <c r="G13">
        <f t="shared" si="149"/>
        <v>23.8834974574917</v>
      </c>
      <c r="Q13" s="15">
        <f t="shared" si="155"/>
        <v>10</v>
      </c>
      <c r="R13" s="15">
        <v>41</v>
      </c>
      <c r="S13">
        <f t="shared" si="150"/>
        <v>45.887074529561801</v>
      </c>
    </row>
    <row r="14">
      <c r="A14" s="15">
        <f t="shared" si="151"/>
        <v>11</v>
      </c>
      <c r="B14" s="15">
        <v>56</v>
      </c>
      <c r="C14" s="31">
        <f t="shared" si="152"/>
        <v>53.631472392733002</v>
      </c>
      <c r="D14" s="31">
        <f t="shared" si="153"/>
        <v>9.2255221535425296</v>
      </c>
      <c r="E14">
        <f t="shared" si="154"/>
        <v>52.052453987888399</v>
      </c>
      <c r="F14">
        <f t="shared" si="148"/>
        <v>3.9475460121116002</v>
      </c>
      <c r="G14">
        <f t="shared" si="149"/>
        <v>15.583119517738201</v>
      </c>
      <c r="Q14" s="15">
        <f t="shared" si="155"/>
        <v>11</v>
      </c>
      <c r="R14" s="15">
        <v>56</v>
      </c>
      <c r="S14">
        <f t="shared" si="150"/>
        <v>52.052453987888399</v>
      </c>
    </row>
    <row r="15">
      <c r="A15" s="15">
        <f t="shared" si="151"/>
        <v>12</v>
      </c>
      <c r="B15" s="15">
        <v>75</v>
      </c>
      <c r="C15" s="31">
        <f t="shared" si="152"/>
        <v>67.714196727765298</v>
      </c>
      <c r="D15" s="31">
        <f t="shared" si="153"/>
        <v>12.625563680585399</v>
      </c>
      <c r="E15">
        <f t="shared" si="154"/>
        <v>62.856994546275502</v>
      </c>
      <c r="F15">
        <f t="shared" si="148"/>
        <v>12.1430054537245</v>
      </c>
      <c r="G15">
        <f t="shared" si="149"/>
        <v>147.45258144918299</v>
      </c>
      <c r="Q15" s="15">
        <f t="shared" si="155"/>
        <v>12</v>
      </c>
      <c r="R15" s="15">
        <v>75</v>
      </c>
      <c r="S15">
        <f t="shared" si="150"/>
        <v>62.856994546275502</v>
      </c>
    </row>
    <row r="16">
      <c r="A16" s="15">
        <f t="shared" si="151"/>
        <v>13</v>
      </c>
      <c r="B16" s="15">
        <v>60</v>
      </c>
      <c r="C16" s="31">
        <f t="shared" si="152"/>
        <v>72.2038562450104</v>
      </c>
      <c r="D16" s="31">
        <f t="shared" si="153"/>
        <v>6.9304307662471896</v>
      </c>
      <c r="E16">
        <f t="shared" si="154"/>
        <v>80.339760408350699</v>
      </c>
      <c r="F16">
        <f t="shared" si="148"/>
        <v>20.339760408350699</v>
      </c>
      <c r="G16">
        <f t="shared" si="149"/>
        <v>413.70585346911099</v>
      </c>
      <c r="Q16" s="15">
        <f t="shared" si="155"/>
        <v>13</v>
      </c>
      <c r="R16" s="15">
        <v>60</v>
      </c>
      <c r="S16">
        <f t="shared" si="150"/>
        <v>80.339760408350699</v>
      </c>
    </row>
    <row r="17">
      <c r="A17" s="15">
        <f t="shared" si="151"/>
        <v>14</v>
      </c>
      <c r="B17" s="15">
        <v>75</v>
      </c>
      <c r="C17" s="31">
        <f t="shared" si="152"/>
        <v>77.480572206754601</v>
      </c>
      <c r="D17" s="31">
        <f t="shared" si="153"/>
        <v>5.7728304030951003</v>
      </c>
      <c r="E17">
        <f t="shared" si="154"/>
        <v>79.134287011257598</v>
      </c>
      <c r="F17">
        <f t="shared" si="148"/>
        <v>4.1342870112575998</v>
      </c>
      <c r="G17">
        <f t="shared" si="149"/>
        <v>17.092329091453301</v>
      </c>
      <c r="Q17" s="15">
        <f t="shared" si="155"/>
        <v>14</v>
      </c>
      <c r="R17" s="15">
        <v>75</v>
      </c>
      <c r="S17">
        <f t="shared" si="150"/>
        <v>79.134287011257598</v>
      </c>
    </row>
    <row r="18">
      <c r="A18" s="17">
        <f t="shared" si="151"/>
        <v>15</v>
      </c>
      <c r="B18" s="17">
        <v>88</v>
      </c>
      <c r="C18" s="32">
        <f t="shared" si="152"/>
        <v>85.152041565909798</v>
      </c>
      <c r="D18" s="32">
        <f t="shared" si="153"/>
        <v>7.1018776723371699</v>
      </c>
      <c r="E18" s="14">
        <f t="shared" si="154"/>
        <v>83.253402609849701</v>
      </c>
      <c r="F18" s="14">
        <f t="shared" si="148"/>
        <v>4.7465973901503</v>
      </c>
      <c r="G18" s="14">
        <f t="shared" si="149"/>
        <v>22.530186784181598</v>
      </c>
      <c r="Q18" s="17">
        <f t="shared" si="155"/>
        <v>15</v>
      </c>
      <c r="R18" s="17">
        <v>88</v>
      </c>
      <c r="S18" s="14">
        <f t="shared" si="150"/>
        <v>83.253402609849701</v>
      </c>
    </row>
    <row r="19">
      <c r="Q19" s="15">
        <f t="shared" si="155"/>
        <v>16</v>
      </c>
      <c r="S19">
        <f t="shared" ref="S19:S23" si="156">C$18+(Q19-Q$18)*D$18</f>
        <v>92.253919238246993</v>
      </c>
    </row>
    <row r="20">
      <c r="B20" s="15" t="s">
        <v>203</v>
      </c>
      <c r="C20" s="15" t="s">
        <v>233</v>
      </c>
      <c r="E20" s="15" t="s">
        <v>211</v>
      </c>
      <c r="F20" s="15" t="s">
        <v>212</v>
      </c>
      <c r="G20" s="15" t="s">
        <v>229</v>
      </c>
      <c r="Q20" s="15">
        <f t="shared" si="155"/>
        <v>17</v>
      </c>
      <c r="S20">
        <f t="shared" si="156"/>
        <v>99.355796910584104</v>
      </c>
    </row>
    <row r="21">
      <c r="B21" s="33">
        <v>0.40000000000000002</v>
      </c>
      <c r="C21" s="34">
        <v>0.69999999999999996</v>
      </c>
      <c r="E21" s="22">
        <f>AVERAGE(F4:F18)</f>
        <v>7.4096596279442801</v>
      </c>
      <c r="F21" s="26">
        <f>AVERAGE(G4:G18)</f>
        <v>103.18983220035901</v>
      </c>
      <c r="G21" s="23">
        <f>SQRT(F21)</f>
        <v>10.158239621133101</v>
      </c>
      <c r="Q21" s="15">
        <f t="shared" si="155"/>
        <v>18</v>
      </c>
      <c r="S21">
        <f t="shared" si="156"/>
        <v>106.457674582921</v>
      </c>
    </row>
    <row r="22">
      <c r="Q22" s="15">
        <f t="shared" si="155"/>
        <v>19</v>
      </c>
      <c r="S22">
        <f t="shared" si="156"/>
        <v>113.55955225525901</v>
      </c>
    </row>
    <row r="23">
      <c r="Q23" s="17">
        <f t="shared" si="155"/>
        <v>20</v>
      </c>
      <c r="R23" s="14"/>
      <c r="S23" s="14">
        <f t="shared" si="156"/>
        <v>120.661429927596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8125"/>
  </cols>
  <sheetData>
    <row r="1">
      <c r="A1" s="1" t="s">
        <v>234</v>
      </c>
    </row>
    <row r="3">
      <c r="A3" s="4" t="s">
        <v>206</v>
      </c>
      <c r="B3" s="4" t="s">
        <v>207</v>
      </c>
      <c r="C3" s="4" t="s">
        <v>231</v>
      </c>
      <c r="D3" s="4" t="s">
        <v>232</v>
      </c>
      <c r="E3" s="4" t="s">
        <v>208</v>
      </c>
      <c r="F3" s="4" t="s">
        <v>209</v>
      </c>
      <c r="G3" s="4" t="s">
        <v>210</v>
      </c>
      <c r="Q3" s="4" t="s">
        <v>206</v>
      </c>
      <c r="R3" s="4" t="s">
        <v>207</v>
      </c>
      <c r="S3" s="4" t="s">
        <v>208</v>
      </c>
    </row>
    <row r="4">
      <c r="A4" s="15">
        <v>1</v>
      </c>
      <c r="B4" s="15">
        <v>3</v>
      </c>
      <c r="C4" s="31">
        <f>B4</f>
        <v>3</v>
      </c>
      <c r="D4" s="31">
        <v>0</v>
      </c>
      <c r="Q4" s="15">
        <v>1</v>
      </c>
      <c r="R4" s="15">
        <v>3</v>
      </c>
    </row>
    <row r="5">
      <c r="A5" s="15">
        <f t="shared" ref="A5:A10" si="157">A4+1</f>
        <v>2</v>
      </c>
      <c r="B5" s="15">
        <v>5</v>
      </c>
      <c r="C5" s="31">
        <f t="shared" ref="C5:C9" si="158">B$21*B5+(1-B$21)*(C4+D4)</f>
        <v>3.5436346386222999</v>
      </c>
      <c r="D5" s="31">
        <f t="shared" ref="D5:D9" si="159">C$21*(C5-C4)+(1-C$21)*D4</f>
        <v>0.32518115389584801</v>
      </c>
      <c r="E5">
        <f t="shared" ref="E5:E10" si="160">C4+D4</f>
        <v>3</v>
      </c>
      <c r="F5">
        <f t="shared" ref="F5:F9" si="161">ABS(B5-E5)</f>
        <v>2</v>
      </c>
      <c r="G5">
        <f t="shared" ref="G5:G9" si="162">(B5-E5)^2</f>
        <v>4</v>
      </c>
      <c r="Q5" s="15">
        <f t="shared" ref="Q5:Q10" si="163">Q4+1</f>
        <v>2</v>
      </c>
      <c r="R5" s="15">
        <v>5</v>
      </c>
      <c r="S5">
        <f t="shared" ref="S5:S9" si="164">E5</f>
        <v>3</v>
      </c>
    </row>
    <row r="6">
      <c r="A6" s="15">
        <f t="shared" si="157"/>
        <v>3</v>
      </c>
      <c r="B6" s="15">
        <v>9</v>
      </c>
      <c r="C6" s="31">
        <f t="shared" si="158"/>
        <v>5.2635605286875702</v>
      </c>
      <c r="D6" s="31">
        <f t="shared" si="159"/>
        <v>1.1594633546163999</v>
      </c>
      <c r="E6">
        <f t="shared" si="160"/>
        <v>3.8688157925181499</v>
      </c>
      <c r="F6">
        <f t="shared" si="161"/>
        <v>5.1311842074818497</v>
      </c>
      <c r="G6">
        <f t="shared" si="162"/>
        <v>26.329051371111099</v>
      </c>
      <c r="Q6" s="15">
        <f t="shared" si="163"/>
        <v>3</v>
      </c>
      <c r="R6" s="15">
        <v>9</v>
      </c>
      <c r="S6">
        <f t="shared" si="164"/>
        <v>3.8688157925181499</v>
      </c>
    </row>
    <row r="7">
      <c r="A7" s="15">
        <f t="shared" si="157"/>
        <v>4</v>
      </c>
      <c r="B7" s="15">
        <v>20</v>
      </c>
      <c r="C7" s="31">
        <f t="shared" si="158"/>
        <v>10.1134811356958</v>
      </c>
      <c r="D7" s="31">
        <f t="shared" si="159"/>
        <v>3.3669517346381999</v>
      </c>
      <c r="E7">
        <f t="shared" si="160"/>
        <v>6.4230238833039701</v>
      </c>
      <c r="F7">
        <f t="shared" si="161"/>
        <v>13.576976116696001</v>
      </c>
      <c r="G7">
        <f t="shared" si="162"/>
        <v>184.33428047333399</v>
      </c>
      <c r="Q7" s="15">
        <f t="shared" si="163"/>
        <v>4</v>
      </c>
      <c r="R7" s="15">
        <v>20</v>
      </c>
      <c r="S7">
        <f t="shared" si="164"/>
        <v>6.4230238833039701</v>
      </c>
    </row>
    <row r="8">
      <c r="A8" s="15">
        <f t="shared" si="157"/>
        <v>5</v>
      </c>
      <c r="B8" s="15">
        <v>12</v>
      </c>
      <c r="C8" s="31">
        <f t="shared" si="158"/>
        <v>13.0780255760997</v>
      </c>
      <c r="D8" s="31">
        <f t="shared" si="159"/>
        <v>3.1262473001179201</v>
      </c>
      <c r="E8">
        <f t="shared" si="160"/>
        <v>13.480432870334001</v>
      </c>
      <c r="F8">
        <f t="shared" si="161"/>
        <v>1.480432870334</v>
      </c>
      <c r="G8">
        <f t="shared" si="162"/>
        <v>2.19168148356537</v>
      </c>
      <c r="Q8" s="15">
        <f t="shared" si="163"/>
        <v>5</v>
      </c>
      <c r="R8" s="15">
        <v>12</v>
      </c>
      <c r="S8">
        <f t="shared" si="164"/>
        <v>13.480432870334001</v>
      </c>
    </row>
    <row r="9">
      <c r="A9" s="15">
        <f t="shared" si="157"/>
        <v>6</v>
      </c>
      <c r="B9" s="15">
        <v>17</v>
      </c>
      <c r="C9" s="31">
        <f t="shared" si="158"/>
        <v>16.420565289907401</v>
      </c>
      <c r="D9" s="31">
        <f t="shared" si="159"/>
        <v>3.2556250322668601</v>
      </c>
      <c r="E9">
        <f t="shared" si="160"/>
        <v>16.204272876217601</v>
      </c>
      <c r="F9">
        <f t="shared" si="161"/>
        <v>0.79572712378239896</v>
      </c>
      <c r="G9">
        <f t="shared" si="162"/>
        <v>0.63318165552300898</v>
      </c>
      <c r="Q9" s="15">
        <f t="shared" si="163"/>
        <v>6</v>
      </c>
      <c r="R9" s="15">
        <v>17</v>
      </c>
      <c r="S9">
        <f t="shared" si="164"/>
        <v>16.204272876217601</v>
      </c>
    </row>
    <row r="10">
      <c r="A10" s="15">
        <f t="shared" si="157"/>
        <v>7</v>
      </c>
      <c r="B10" s="15">
        <v>22</v>
      </c>
      <c r="C10" s="31">
        <f>B$21*B10+(1-B$21)*(C9+D9)</f>
        <v>20.307842039390199</v>
      </c>
      <c r="D10" s="31">
        <f>C$21*(C10-C9)+(1-C$21)*D9</f>
        <v>3.6334545885017402</v>
      </c>
      <c r="E10">
        <f t="shared" si="160"/>
        <v>19.6761903221743</v>
      </c>
      <c r="F10">
        <f t="shared" ref="F10:F18" si="165">ABS(B10-E10)</f>
        <v>2.3238096778256998</v>
      </c>
      <c r="G10">
        <f t="shared" ref="G10:G18" si="166">(B10-E10)^2</f>
        <v>5.4000914187563804</v>
      </c>
      <c r="Q10" s="15">
        <f t="shared" si="163"/>
        <v>7</v>
      </c>
      <c r="R10" s="15">
        <v>22</v>
      </c>
      <c r="S10">
        <f t="shared" ref="S10:S18" si="167">E10</f>
        <v>19.6761903221743</v>
      </c>
    </row>
    <row r="11">
      <c r="A11" s="15">
        <f t="shared" ref="A11:A18" si="168">A10+1</f>
        <v>8</v>
      </c>
      <c r="B11" s="15">
        <v>23</v>
      </c>
      <c r="C11" s="31">
        <f t="shared" ref="C11:C18" si="169">B$21*B11+(1-B$21)*(C10+D10)</f>
        <v>23.685435901821801</v>
      </c>
      <c r="D11" s="31">
        <f t="shared" ref="D11:D18" si="170">C$21*(C11-C10)+(1-C$21)*D10</f>
        <v>3.48040862669369</v>
      </c>
      <c r="E11">
        <f t="shared" ref="E11:E18" si="171">C10+D10</f>
        <v>23.941296627891901</v>
      </c>
      <c r="F11">
        <f t="shared" si="165"/>
        <v>0.94129662789190205</v>
      </c>
      <c r="G11">
        <f t="shared" si="166"/>
        <v>0.886039341680666</v>
      </c>
      <c r="Q11" s="15">
        <f t="shared" ref="Q11:Q23" si="172">Q10+1</f>
        <v>8</v>
      </c>
      <c r="R11" s="15">
        <v>23</v>
      </c>
      <c r="S11">
        <f t="shared" si="167"/>
        <v>23.941296627891901</v>
      </c>
    </row>
    <row r="12">
      <c r="A12" s="15">
        <f t="shared" si="168"/>
        <v>9</v>
      </c>
      <c r="B12" s="15">
        <v>51</v>
      </c>
      <c r="C12" s="31">
        <f t="shared" si="169"/>
        <v>33.644380776819602</v>
      </c>
      <c r="D12" s="31">
        <f t="shared" si="170"/>
        <v>7.35561771586889</v>
      </c>
      <c r="E12">
        <f t="shared" si="171"/>
        <v>27.1658445285155</v>
      </c>
      <c r="F12">
        <f t="shared" si="165"/>
        <v>23.8341554714845</v>
      </c>
      <c r="G12">
        <f t="shared" si="166"/>
        <v>568.06696703889497</v>
      </c>
      <c r="Q12" s="15">
        <f t="shared" si="172"/>
        <v>9</v>
      </c>
      <c r="R12" s="15">
        <v>51</v>
      </c>
      <c r="S12">
        <f t="shared" si="167"/>
        <v>27.1658445285155</v>
      </c>
    </row>
    <row r="13">
      <c r="A13" s="15">
        <f t="shared" si="168"/>
        <v>10</v>
      </c>
      <c r="B13" s="15">
        <v>41</v>
      </c>
      <c r="C13" s="31">
        <f t="shared" si="169"/>
        <v>40.999998902401899</v>
      </c>
      <c r="D13" s="31">
        <f t="shared" si="170"/>
        <v>7.3556179609435599</v>
      </c>
      <c r="E13">
        <f t="shared" si="171"/>
        <v>40.999998492688498</v>
      </c>
      <c r="F13">
        <f t="shared" si="165"/>
        <v>1.507311502280118e-06</v>
      </c>
      <c r="G13">
        <f t="shared" si="166"/>
        <v>2.271987964905946e-12</v>
      </c>
      <c r="Q13" s="15">
        <f t="shared" si="172"/>
        <v>10</v>
      </c>
      <c r="R13" s="15">
        <v>41</v>
      </c>
      <c r="S13">
        <f t="shared" si="167"/>
        <v>40.999998492688498</v>
      </c>
    </row>
    <row r="14">
      <c r="A14" s="15">
        <f t="shared" si="168"/>
        <v>11</v>
      </c>
      <c r="B14" s="15">
        <v>56</v>
      </c>
      <c r="C14" s="31">
        <f t="shared" si="169"/>
        <v>50.433492595338301</v>
      </c>
      <c r="D14" s="31">
        <f t="shared" si="170"/>
        <v>8.5985226255432305</v>
      </c>
      <c r="E14">
        <f t="shared" si="171"/>
        <v>48.355616863345503</v>
      </c>
      <c r="F14">
        <f t="shared" si="165"/>
        <v>7.6443831366544996</v>
      </c>
      <c r="G14">
        <f t="shared" si="166"/>
        <v>58.436593539967703</v>
      </c>
      <c r="Q14" s="15">
        <f t="shared" si="172"/>
        <v>11</v>
      </c>
      <c r="R14" s="15">
        <v>56</v>
      </c>
      <c r="S14">
        <f t="shared" si="167"/>
        <v>48.355616863345503</v>
      </c>
    </row>
    <row r="15">
      <c r="A15" s="15">
        <f t="shared" si="168"/>
        <v>12</v>
      </c>
      <c r="B15" s="15">
        <v>75</v>
      </c>
      <c r="C15" s="31">
        <f t="shared" si="169"/>
        <v>63.3723900383428</v>
      </c>
      <c r="D15" s="31">
        <f t="shared" si="170"/>
        <v>11.194766483475799</v>
      </c>
      <c r="E15">
        <f t="shared" si="171"/>
        <v>59.032015220881497</v>
      </c>
      <c r="F15">
        <f t="shared" si="165"/>
        <v>15.967984779118501</v>
      </c>
      <c r="G15">
        <f t="shared" si="166"/>
        <v>254.97653790615999</v>
      </c>
      <c r="Q15" s="15">
        <f t="shared" si="172"/>
        <v>12</v>
      </c>
      <c r="R15" s="15">
        <v>75</v>
      </c>
      <c r="S15">
        <f t="shared" si="167"/>
        <v>59.032015220881497</v>
      </c>
    </row>
    <row r="16">
      <c r="A16" s="15">
        <f t="shared" si="168"/>
        <v>13</v>
      </c>
      <c r="B16" s="15">
        <v>60</v>
      </c>
      <c r="C16" s="31">
        <f t="shared" si="169"/>
        <v>70.607551086071894</v>
      </c>
      <c r="D16" s="31">
        <f t="shared" si="170"/>
        <v>8.8262841001025798</v>
      </c>
      <c r="E16">
        <f t="shared" si="171"/>
        <v>74.567156521818603</v>
      </c>
      <c r="F16">
        <f t="shared" si="165"/>
        <v>14.5671565218186</v>
      </c>
      <c r="G16">
        <f t="shared" si="166"/>
        <v>212.202049131162</v>
      </c>
      <c r="Q16" s="15">
        <f t="shared" si="172"/>
        <v>13</v>
      </c>
      <c r="R16" s="15">
        <v>60</v>
      </c>
      <c r="S16">
        <f t="shared" si="167"/>
        <v>74.567156521818603</v>
      </c>
    </row>
    <row r="17">
      <c r="A17" s="15">
        <f t="shared" si="168"/>
        <v>14</v>
      </c>
      <c r="B17" s="15">
        <v>75</v>
      </c>
      <c r="C17" s="31">
        <f t="shared" si="169"/>
        <v>78.228641991601094</v>
      </c>
      <c r="D17" s="31">
        <f t="shared" si="170"/>
        <v>8.1053842790904795</v>
      </c>
      <c r="E17">
        <f t="shared" si="171"/>
        <v>79.433835186174505</v>
      </c>
      <c r="F17">
        <f t="shared" si="165"/>
        <v>4.4338351861745098</v>
      </c>
      <c r="G17">
        <f t="shared" si="166"/>
        <v>19.6588944581592</v>
      </c>
      <c r="Q17" s="15">
        <f t="shared" si="172"/>
        <v>14</v>
      </c>
      <c r="R17" s="15">
        <v>75</v>
      </c>
      <c r="S17">
        <f t="shared" si="167"/>
        <v>79.433835186174505</v>
      </c>
    </row>
    <row r="18">
      <c r="A18" s="17">
        <f t="shared" si="168"/>
        <v>15</v>
      </c>
      <c r="B18" s="17">
        <v>88</v>
      </c>
      <c r="C18" s="32">
        <f t="shared" si="169"/>
        <v>86.786866783834995</v>
      </c>
      <c r="D18" s="32">
        <f t="shared" si="170"/>
        <v>8.3762559089188304</v>
      </c>
      <c r="E18" s="14">
        <f t="shared" si="171"/>
        <v>86.334026270691595</v>
      </c>
      <c r="F18" s="14">
        <f t="shared" si="165"/>
        <v>1.66597372930841</v>
      </c>
      <c r="G18" s="14">
        <f t="shared" si="166"/>
        <v>2.7754684667457701</v>
      </c>
      <c r="Q18" s="15">
        <f t="shared" si="172"/>
        <v>15</v>
      </c>
      <c r="R18" s="15">
        <v>88</v>
      </c>
      <c r="S18">
        <f t="shared" si="167"/>
        <v>86.334026270691595</v>
      </c>
    </row>
    <row r="19">
      <c r="Q19" s="15">
        <f t="shared" si="172"/>
        <v>16</v>
      </c>
      <c r="S19">
        <f t="shared" ref="S19:S23" si="173">C$18+(Q19-Q$18)*D$18</f>
        <v>95.163122692753802</v>
      </c>
    </row>
    <row r="20">
      <c r="B20" s="15" t="s">
        <v>203</v>
      </c>
      <c r="C20" s="15" t="s">
        <v>233</v>
      </c>
      <c r="E20" s="15" t="s">
        <v>211</v>
      </c>
      <c r="F20" s="15" t="s">
        <v>212</v>
      </c>
      <c r="G20" s="15" t="s">
        <v>229</v>
      </c>
      <c r="Q20" s="15">
        <f t="shared" si="172"/>
        <v>17</v>
      </c>
      <c r="S20">
        <f t="shared" si="173"/>
        <v>103.53937860167299</v>
      </c>
    </row>
    <row r="21">
      <c r="B21" s="33">
        <v>0.27181731931114972</v>
      </c>
      <c r="C21" s="34">
        <v>0.59816121121335319</v>
      </c>
      <c r="E21" s="22">
        <f>AVERAGE(F4:F18)</f>
        <v>6.7402083539915996</v>
      </c>
      <c r="F21" s="26">
        <f>AVERAGE(G4:G18)</f>
        <v>95.706488306075897</v>
      </c>
      <c r="G21" s="23">
        <f>SQRT(F21)</f>
        <v>9.7829692990459698</v>
      </c>
      <c r="Q21" s="15">
        <f t="shared" si="172"/>
        <v>18</v>
      </c>
      <c r="S21">
        <f t="shared" si="173"/>
        <v>111.915634510592</v>
      </c>
    </row>
    <row r="22">
      <c r="Q22" s="15">
        <f t="shared" si="172"/>
        <v>19</v>
      </c>
      <c r="S22">
        <f t="shared" si="173"/>
        <v>120.29189041951</v>
      </c>
    </row>
    <row r="23">
      <c r="Q23" s="17">
        <f t="shared" si="172"/>
        <v>20</v>
      </c>
      <c r="R23" s="14"/>
      <c r="S23" s="14">
        <f t="shared" si="173"/>
        <v>128.668146328429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235</v>
      </c>
      <c r="D1" t="s">
        <v>236</v>
      </c>
    </row>
    <row r="3">
      <c r="A3" s="4" t="s">
        <v>206</v>
      </c>
      <c r="B3" s="4" t="s">
        <v>207</v>
      </c>
      <c r="D3" s="24" t="str">
        <f t="shared" ref="D3:D9" si="174">A3</f>
        <v>t</v>
      </c>
      <c r="E3" s="24" t="str">
        <f t="shared" ref="E3:E9" si="175">B3</f>
        <v>y</v>
      </c>
      <c r="F3" s="24" t="s">
        <v>231</v>
      </c>
      <c r="G3" s="24" t="s">
        <v>232</v>
      </c>
      <c r="H3" s="24" t="s">
        <v>193</v>
      </c>
    </row>
    <row r="4">
      <c r="A4" s="15">
        <v>1</v>
      </c>
      <c r="B4" s="15">
        <v>3</v>
      </c>
      <c r="D4">
        <f t="shared" si="174"/>
        <v>1</v>
      </c>
      <c r="E4">
        <f t="shared" si="175"/>
        <v>3</v>
      </c>
      <c r="F4">
        <f>E4</f>
        <v>3</v>
      </c>
      <c r="G4">
        <v>0</v>
      </c>
    </row>
    <row r="5">
      <c r="A5" s="15">
        <f t="shared" ref="A5:A10" si="176">A4+1</f>
        <v>2</v>
      </c>
      <c r="B5" s="15">
        <v>5</v>
      </c>
      <c r="D5">
        <f t="shared" si="174"/>
        <v>2</v>
      </c>
      <c r="E5">
        <f t="shared" si="175"/>
        <v>5</v>
      </c>
      <c r="F5">
        <f t="shared" ref="F5:F9" si="177">$E$26*E5+(1-$E$26)*(F4+G4)</f>
        <v>3.7999999999999998</v>
      </c>
      <c r="G5">
        <f t="shared" ref="G5:G9" si="178">$F$26*(F5-F4)+(1-$F$26)*G4</f>
        <v>0.56000000000000005</v>
      </c>
      <c r="H5">
        <f t="shared" ref="H5:H10" si="179">F4+G4</f>
        <v>3</v>
      </c>
    </row>
    <row r="6">
      <c r="A6" s="15">
        <f t="shared" si="176"/>
        <v>3</v>
      </c>
      <c r="B6" s="15">
        <v>9</v>
      </c>
      <c r="D6">
        <f t="shared" si="174"/>
        <v>3</v>
      </c>
      <c r="E6">
        <f t="shared" si="175"/>
        <v>9</v>
      </c>
      <c r="F6">
        <f t="shared" si="177"/>
        <v>6.2160000000000002</v>
      </c>
      <c r="G6">
        <f t="shared" si="178"/>
        <v>1.8592</v>
      </c>
      <c r="H6">
        <f t="shared" si="179"/>
        <v>4.3600000000000003</v>
      </c>
    </row>
    <row r="7">
      <c r="A7" s="15">
        <f t="shared" si="176"/>
        <v>4</v>
      </c>
      <c r="B7" s="15">
        <v>20</v>
      </c>
      <c r="D7">
        <f t="shared" si="174"/>
        <v>4</v>
      </c>
      <c r="E7">
        <f t="shared" si="175"/>
        <v>20</v>
      </c>
      <c r="F7">
        <f t="shared" si="177"/>
        <v>12.84512</v>
      </c>
      <c r="G7">
        <f t="shared" si="178"/>
        <v>5.1981440000000001</v>
      </c>
      <c r="H7">
        <f t="shared" si="179"/>
        <v>8.0752000000000006</v>
      </c>
    </row>
    <row r="8">
      <c r="A8" s="15">
        <f t="shared" si="176"/>
        <v>5</v>
      </c>
      <c r="B8" s="15">
        <v>12</v>
      </c>
      <c r="D8">
        <f t="shared" si="174"/>
        <v>5</v>
      </c>
      <c r="E8">
        <f t="shared" si="175"/>
        <v>12</v>
      </c>
      <c r="F8">
        <f t="shared" si="177"/>
        <v>15.6259584</v>
      </c>
      <c r="G8">
        <f t="shared" si="178"/>
        <v>3.5060300799999999</v>
      </c>
      <c r="H8">
        <f t="shared" si="179"/>
        <v>18.043264000000001</v>
      </c>
    </row>
    <row r="9">
      <c r="A9" s="15">
        <f t="shared" si="176"/>
        <v>6</v>
      </c>
      <c r="B9" s="15">
        <v>17</v>
      </c>
      <c r="D9">
        <f t="shared" si="174"/>
        <v>6</v>
      </c>
      <c r="E9">
        <f t="shared" si="175"/>
        <v>17</v>
      </c>
      <c r="F9">
        <f t="shared" si="177"/>
        <v>18.279193088</v>
      </c>
      <c r="G9">
        <f t="shared" si="178"/>
        <v>2.9090733056000002</v>
      </c>
      <c r="H9">
        <f t="shared" si="179"/>
        <v>19.13198848</v>
      </c>
    </row>
    <row r="10">
      <c r="A10" s="15">
        <f t="shared" si="176"/>
        <v>7</v>
      </c>
      <c r="B10" s="15">
        <v>22</v>
      </c>
      <c r="D10">
        <f t="shared" ref="D10:D18" si="180">A10</f>
        <v>7</v>
      </c>
      <c r="E10">
        <f t="shared" ref="E10:E18" si="181">B10</f>
        <v>22</v>
      </c>
      <c r="F10">
        <f>$E$26*E10+(1-$E$26)*(F9+G9)</f>
        <v>21.51295983616</v>
      </c>
      <c r="G10">
        <f>$F$26*(F10-F9)+(1-$F$26)*G9</f>
        <v>3.1363587153919998</v>
      </c>
      <c r="H10">
        <f t="shared" si="179"/>
        <v>21.188266393599999</v>
      </c>
    </row>
    <row r="11">
      <c r="A11" s="15">
        <f t="shared" ref="A11:A18" si="182">A10+1</f>
        <v>8</v>
      </c>
      <c r="B11" s="15">
        <v>23</v>
      </c>
      <c r="D11">
        <f t="shared" si="180"/>
        <v>8</v>
      </c>
      <c r="E11">
        <f t="shared" si="181"/>
        <v>23</v>
      </c>
      <c r="F11">
        <f t="shared" ref="F11:F18" si="183">$E$26*E11+(1-$E$26)*(F10+G10)</f>
        <v>23.989591130931199</v>
      </c>
      <c r="G11">
        <f t="shared" ref="G11:G18" si="184">$F$26*(F11-F10)+(1-$F$26)*G10</f>
        <v>2.6745495209574401</v>
      </c>
      <c r="H11">
        <f t="shared" ref="H11:H18" si="185">F10+G10</f>
        <v>24.649318551552</v>
      </c>
    </row>
    <row r="12">
      <c r="A12" s="15">
        <f t="shared" si="182"/>
        <v>9</v>
      </c>
      <c r="B12" s="15">
        <v>51</v>
      </c>
      <c r="D12">
        <f t="shared" si="180"/>
        <v>9</v>
      </c>
      <c r="E12">
        <f t="shared" si="181"/>
        <v>51</v>
      </c>
      <c r="F12">
        <f t="shared" si="183"/>
        <v>36.398484391133202</v>
      </c>
      <c r="G12">
        <f t="shared" si="184"/>
        <v>9.4885901384286306</v>
      </c>
      <c r="H12">
        <f t="shared" si="185"/>
        <v>26.664140651888601</v>
      </c>
    </row>
    <row r="13">
      <c r="A13" s="15">
        <f t="shared" si="182"/>
        <v>10</v>
      </c>
      <c r="B13" s="15">
        <v>41</v>
      </c>
      <c r="D13">
        <f t="shared" si="180"/>
        <v>10</v>
      </c>
      <c r="E13">
        <f t="shared" si="181"/>
        <v>41</v>
      </c>
      <c r="F13">
        <f t="shared" si="183"/>
        <v>43.932244717737099</v>
      </c>
      <c r="G13">
        <f t="shared" si="184"/>
        <v>8.1202092701513209</v>
      </c>
      <c r="H13">
        <f t="shared" si="185"/>
        <v>45.887074529561801</v>
      </c>
    </row>
    <row r="14">
      <c r="A14" s="15">
        <f t="shared" si="182"/>
        <v>11</v>
      </c>
      <c r="B14" s="15">
        <v>56</v>
      </c>
      <c r="D14">
        <f t="shared" si="180"/>
        <v>11</v>
      </c>
      <c r="E14">
        <f t="shared" si="181"/>
        <v>56</v>
      </c>
      <c r="F14">
        <f t="shared" si="183"/>
        <v>53.631472392733002</v>
      </c>
      <c r="G14">
        <f t="shared" si="184"/>
        <v>9.2255221535425296</v>
      </c>
      <c r="H14">
        <f t="shared" si="185"/>
        <v>52.052453987888399</v>
      </c>
    </row>
    <row r="15">
      <c r="A15" s="15">
        <f t="shared" si="182"/>
        <v>12</v>
      </c>
      <c r="B15" s="15">
        <v>75</v>
      </c>
      <c r="D15">
        <f t="shared" si="180"/>
        <v>12</v>
      </c>
      <c r="E15">
        <f t="shared" si="181"/>
        <v>75</v>
      </c>
      <c r="F15">
        <f t="shared" si="183"/>
        <v>67.714196727765298</v>
      </c>
      <c r="G15">
        <f t="shared" si="184"/>
        <v>12.625563680585399</v>
      </c>
      <c r="H15">
        <f t="shared" si="185"/>
        <v>62.856994546275502</v>
      </c>
    </row>
    <row r="16">
      <c r="A16" s="15">
        <f t="shared" si="182"/>
        <v>13</v>
      </c>
      <c r="B16" s="15">
        <v>60</v>
      </c>
      <c r="D16">
        <f t="shared" si="180"/>
        <v>13</v>
      </c>
      <c r="E16">
        <f t="shared" si="181"/>
        <v>60</v>
      </c>
      <c r="F16">
        <f t="shared" si="183"/>
        <v>72.2038562450104</v>
      </c>
      <c r="G16">
        <f t="shared" si="184"/>
        <v>6.9304307662471896</v>
      </c>
      <c r="H16">
        <f t="shared" si="185"/>
        <v>80.339760408350699</v>
      </c>
    </row>
    <row r="17">
      <c r="A17" s="15">
        <f t="shared" si="182"/>
        <v>14</v>
      </c>
      <c r="B17" s="15">
        <v>75</v>
      </c>
      <c r="D17">
        <f t="shared" si="180"/>
        <v>14</v>
      </c>
      <c r="E17">
        <f t="shared" si="181"/>
        <v>75</v>
      </c>
      <c r="F17">
        <f t="shared" si="183"/>
        <v>77.480572206754601</v>
      </c>
      <c r="G17">
        <f t="shared" si="184"/>
        <v>5.7728304030951003</v>
      </c>
      <c r="H17">
        <f t="shared" si="185"/>
        <v>79.134287011257598</v>
      </c>
    </row>
    <row r="18">
      <c r="A18" s="17">
        <f t="shared" si="182"/>
        <v>15</v>
      </c>
      <c r="B18" s="17">
        <v>88</v>
      </c>
      <c r="D18" s="14">
        <f t="shared" si="180"/>
        <v>15</v>
      </c>
      <c r="E18" s="14">
        <f t="shared" si="181"/>
        <v>88</v>
      </c>
      <c r="F18" s="14">
        <f t="shared" si="183"/>
        <v>85.152041565909798</v>
      </c>
      <c r="G18" s="14">
        <f t="shared" si="184"/>
        <v>7.1018776723371699</v>
      </c>
      <c r="H18" s="14">
        <f t="shared" si="185"/>
        <v>83.253402609849701</v>
      </c>
    </row>
    <row r="19">
      <c r="D19" t="s">
        <v>217</v>
      </c>
      <c r="H19">
        <f t="shared" ref="H19:H23" si="186">$F$18+$G$18*(ROW(F19)-ROW($F$18))</f>
        <v>92.253919238246993</v>
      </c>
    </row>
    <row r="20">
      <c r="D20" t="s">
        <v>217</v>
      </c>
      <c r="H20">
        <f t="shared" si="186"/>
        <v>99.355796910584104</v>
      </c>
    </row>
    <row r="21">
      <c r="D21" t="s">
        <v>217</v>
      </c>
      <c r="H21">
        <f t="shared" si="186"/>
        <v>106.457674582921</v>
      </c>
    </row>
    <row r="22">
      <c r="D22" t="s">
        <v>217</v>
      </c>
      <c r="H22">
        <f t="shared" si="186"/>
        <v>113.55955225525901</v>
      </c>
    </row>
    <row r="23">
      <c r="D23" t="s">
        <v>217</v>
      </c>
      <c r="H23">
        <f t="shared" si="186"/>
        <v>120.661429927596</v>
      </c>
    </row>
    <row r="25">
      <c r="E25" s="25" t="s">
        <v>203</v>
      </c>
      <c r="F25" s="25" t="s">
        <v>233</v>
      </c>
      <c r="G25" s="25" t="s">
        <v>211</v>
      </c>
      <c r="H25" s="25" t="s">
        <v>212</v>
      </c>
      <c r="I25" s="25" t="s">
        <v>218</v>
      </c>
    </row>
    <row r="26">
      <c r="E26" s="22">
        <v>0.40000000000000002</v>
      </c>
      <c r="F26" s="26">
        <v>0.69999999999999996</v>
      </c>
      <c r="G26" s="22">
        <f>SUMPRODUCT(ABS(E5:E18-H5:H18))/COUNT(H5:H18)</f>
        <v>7.4096596279442899</v>
      </c>
      <c r="H26" s="26">
        <f>SUMXMY2(E5:E18,H5:H18)/COUNT(H5:H18)</f>
        <v>103.18983220035901</v>
      </c>
      <c r="I26" s="23">
        <f>SUMPRODUCT(ABS(1-H5:H18/E5:E18))/COUNT(H5:H18)</f>
        <v>0.25187472753835399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8125"/>
  </cols>
  <sheetData>
    <row r="1">
      <c r="A1" s="1" t="s">
        <v>237</v>
      </c>
    </row>
    <row r="3">
      <c r="A3" s="4" t="s">
        <v>206</v>
      </c>
      <c r="B3" s="4" t="s">
        <v>207</v>
      </c>
      <c r="C3" s="4" t="s">
        <v>231</v>
      </c>
      <c r="D3" s="4" t="s">
        <v>232</v>
      </c>
      <c r="E3" s="4" t="s">
        <v>208</v>
      </c>
      <c r="F3" s="4" t="s">
        <v>209</v>
      </c>
      <c r="G3" s="4" t="s">
        <v>210</v>
      </c>
    </row>
    <row r="4">
      <c r="A4" s="15">
        <v>1</v>
      </c>
      <c r="B4" s="15">
        <v>3</v>
      </c>
      <c r="C4" s="31">
        <f>B4</f>
        <v>3</v>
      </c>
      <c r="D4" s="31">
        <v>0</v>
      </c>
    </row>
    <row r="5">
      <c r="A5" s="15">
        <f t="shared" ref="A5:A10" si="187">A4+1</f>
        <v>2</v>
      </c>
      <c r="B5" s="15">
        <v>5</v>
      </c>
      <c r="C5" s="31">
        <f t="shared" ref="C5:C9" si="188">B$21*B5+(1-B$21)*(C4+D4)</f>
        <v>3.3990262559420201</v>
      </c>
      <c r="D5" s="31">
        <f t="shared" ref="D5:D9" si="189">C$21*(C5-C4)+(1-C$21)*D4</f>
        <v>0.39902625594202001</v>
      </c>
      <c r="E5">
        <f t="shared" ref="E5:E10" si="190">C4+D4</f>
        <v>3</v>
      </c>
      <c r="F5">
        <f t="shared" ref="F5:F9" si="191">ABS(B5-E5)</f>
        <v>2</v>
      </c>
      <c r="G5">
        <f t="shared" ref="G5:G9" si="192">(B5-E5)^2</f>
        <v>4</v>
      </c>
    </row>
    <row r="6">
      <c r="A6" s="15">
        <f t="shared" si="187"/>
        <v>3</v>
      </c>
      <c r="B6" s="15">
        <v>9</v>
      </c>
      <c r="C6" s="31">
        <f t="shared" si="188"/>
        <v>4.8359093267789701</v>
      </c>
      <c r="D6" s="31">
        <f t="shared" si="189"/>
        <v>1.43688307083695</v>
      </c>
      <c r="E6">
        <f t="shared" si="190"/>
        <v>3.7980525118840398</v>
      </c>
      <c r="F6">
        <f t="shared" si="191"/>
        <v>5.2019474881159598</v>
      </c>
      <c r="G6">
        <f t="shared" si="192"/>
        <v>27.060257669115899</v>
      </c>
    </row>
    <row r="7">
      <c r="A7" s="15">
        <f t="shared" si="187"/>
        <v>4</v>
      </c>
      <c r="B7" s="15">
        <v>20</v>
      </c>
      <c r="C7" s="31">
        <f t="shared" si="188"/>
        <v>9.0115505246749308</v>
      </c>
      <c r="D7" s="31">
        <f t="shared" si="189"/>
        <v>4.1756411978959598</v>
      </c>
      <c r="E7">
        <f t="shared" si="190"/>
        <v>6.2727923976159197</v>
      </c>
      <c r="F7">
        <f t="shared" si="191"/>
        <v>13.7272076023841</v>
      </c>
      <c r="G7">
        <f t="shared" si="192"/>
        <v>188.436228558952</v>
      </c>
    </row>
    <row r="8">
      <c r="A8" s="15">
        <f t="shared" si="187"/>
        <v>5</v>
      </c>
      <c r="B8" s="15">
        <v>12</v>
      </c>
      <c r="C8" s="31">
        <f t="shared" si="188"/>
        <v>12.950331388499499</v>
      </c>
      <c r="D8" s="31">
        <f t="shared" si="189"/>
        <v>3.93878086382457</v>
      </c>
      <c r="E8">
        <f t="shared" si="190"/>
        <v>13.187191722570899</v>
      </c>
      <c r="F8">
        <f t="shared" si="191"/>
        <v>1.1871917225709001</v>
      </c>
      <c r="G8">
        <f t="shared" si="192"/>
        <v>1.4094241861408601</v>
      </c>
    </row>
    <row r="9">
      <c r="A9" s="15">
        <f t="shared" si="187"/>
        <v>6</v>
      </c>
      <c r="B9" s="15">
        <v>17</v>
      </c>
      <c r="C9" s="31">
        <f t="shared" si="188"/>
        <v>16.911235813716601</v>
      </c>
      <c r="D9" s="31">
        <f t="shared" si="189"/>
        <v>3.9609044252171</v>
      </c>
      <c r="E9">
        <f t="shared" si="190"/>
        <v>16.8891122523241</v>
      </c>
      <c r="F9">
        <f t="shared" si="191"/>
        <v>0.1108877476759</v>
      </c>
      <c r="G9">
        <f t="shared" si="192"/>
        <v>1.2296092584634002e-02</v>
      </c>
    </row>
    <row r="10">
      <c r="A10" s="15">
        <f t="shared" si="187"/>
        <v>7</v>
      </c>
      <c r="B10" s="15">
        <v>22</v>
      </c>
      <c r="C10" s="31">
        <f>B$21*B10+(1-B$21)*(C9+D9)</f>
        <v>21.097163067776702</v>
      </c>
      <c r="D10" s="31">
        <f>C$21*(C10-C9)+(1-C$21)*D9</f>
        <v>4.1859272540600996</v>
      </c>
      <c r="E10">
        <f t="shared" si="190"/>
        <v>20.872140238933699</v>
      </c>
      <c r="F10">
        <f t="shared" ref="F10:F18" si="193">ABS(B10-E10)</f>
        <v>1.1278597610662999</v>
      </c>
      <c r="G10">
        <f t="shared" ref="G10:G18" si="194">(B10-E10)^2</f>
        <v>1.27206764063253</v>
      </c>
    </row>
    <row r="11">
      <c r="A11" s="15">
        <f t="shared" ref="A11:A18" si="195">A10+1</f>
        <v>8</v>
      </c>
      <c r="B11" s="15">
        <v>23</v>
      </c>
      <c r="C11" s="31">
        <f t="shared" ref="C11:C18" si="196">B$21*B11+(1-B$21)*(C10+D10)</f>
        <v>24.827583830286802</v>
      </c>
      <c r="D11" s="31">
        <f t="shared" ref="D11:D18" si="197">C$21*(C11-C10)+(1-C$21)*D10</f>
        <v>3.7304207625101</v>
      </c>
      <c r="E11">
        <f t="shared" ref="E11:E18" si="198">C10+D10</f>
        <v>25.283090321836799</v>
      </c>
      <c r="F11">
        <f t="shared" si="193"/>
        <v>2.2830903218367999</v>
      </c>
      <c r="G11">
        <f t="shared" si="194"/>
        <v>5.2125014176648596</v>
      </c>
    </row>
    <row r="12">
      <c r="A12" s="15">
        <f t="shared" si="195"/>
        <v>9</v>
      </c>
      <c r="B12" s="15">
        <v>51</v>
      </c>
      <c r="C12" s="31">
        <f t="shared" si="196"/>
        <v>33.035477294399001</v>
      </c>
      <c r="D12" s="31">
        <f t="shared" si="197"/>
        <v>8.2078934641121997</v>
      </c>
      <c r="E12">
        <f t="shared" si="198"/>
        <v>28.558004592796902</v>
      </c>
      <c r="F12">
        <f t="shared" si="193"/>
        <v>22.441995407203098</v>
      </c>
      <c r="G12">
        <f t="shared" si="194"/>
        <v>503.64315785692497</v>
      </c>
    </row>
    <row r="13">
      <c r="A13" s="15">
        <f t="shared" si="195"/>
        <v>10</v>
      </c>
      <c r="B13" s="15">
        <v>41</v>
      </c>
      <c r="C13" s="31">
        <f t="shared" si="196"/>
        <v>41.194815097224001</v>
      </c>
      <c r="D13" s="31">
        <f t="shared" si="197"/>
        <v>8.1593378028250001</v>
      </c>
      <c r="E13">
        <f t="shared" si="198"/>
        <v>41.243370758511197</v>
      </c>
      <c r="F13">
        <f t="shared" si="193"/>
        <v>0.24337075851119799</v>
      </c>
      <c r="G13">
        <f t="shared" si="194"/>
        <v>5.9229326098316007e-02</v>
      </c>
    </row>
    <row r="14">
      <c r="A14" s="15">
        <f t="shared" si="195"/>
        <v>11</v>
      </c>
      <c r="B14" s="15">
        <v>56</v>
      </c>
      <c r="C14" s="31">
        <f t="shared" si="196"/>
        <v>50.680086642977301</v>
      </c>
      <c r="D14" s="31">
        <f t="shared" si="197"/>
        <v>9.4852715457532994</v>
      </c>
      <c r="E14">
        <f t="shared" si="198"/>
        <v>49.354152900049002</v>
      </c>
      <c r="F14">
        <f t="shared" si="193"/>
        <v>6.6458470999510002</v>
      </c>
      <c r="G14">
        <f t="shared" si="194"/>
        <v>44.167283675927102</v>
      </c>
    </row>
    <row r="15">
      <c r="A15" s="15">
        <f t="shared" si="195"/>
        <v>12</v>
      </c>
      <c r="B15" s="15">
        <v>75</v>
      </c>
      <c r="C15" s="31">
        <f t="shared" si="196"/>
        <v>63.125063978826397</v>
      </c>
      <c r="D15" s="31">
        <f t="shared" si="197"/>
        <v>12.444977335849099</v>
      </c>
      <c r="E15">
        <f t="shared" si="198"/>
        <v>60.1653581887306</v>
      </c>
      <c r="F15">
        <f t="shared" si="193"/>
        <v>14.8346418112694</v>
      </c>
      <c r="G15">
        <f t="shared" si="194"/>
        <v>220.06659766866201</v>
      </c>
    </row>
    <row r="16">
      <c r="A16" s="15">
        <f t="shared" si="195"/>
        <v>13</v>
      </c>
      <c r="B16" s="15">
        <v>60</v>
      </c>
      <c r="C16" s="31">
        <f t="shared" si="196"/>
        <v>72.463613669346799</v>
      </c>
      <c r="D16" s="31">
        <f t="shared" si="197"/>
        <v>9.3385496905204004</v>
      </c>
      <c r="E16">
        <f t="shared" si="198"/>
        <v>75.570041314675507</v>
      </c>
      <c r="F16">
        <f t="shared" si="193"/>
        <v>15.5700413146755</v>
      </c>
      <c r="G16">
        <f t="shared" si="194"/>
        <v>242.42618654070199</v>
      </c>
    </row>
    <row r="17">
      <c r="A17" s="15">
        <f t="shared" si="195"/>
        <v>14</v>
      </c>
      <c r="B17" s="15">
        <v>75</v>
      </c>
      <c r="C17" s="31">
        <f t="shared" si="196"/>
        <v>80.445042470970407</v>
      </c>
      <c r="D17" s="31">
        <f t="shared" si="197"/>
        <v>7.9814288016236103</v>
      </c>
      <c r="E17">
        <f t="shared" si="198"/>
        <v>81.802163359867194</v>
      </c>
      <c r="F17">
        <f t="shared" si="193"/>
        <v>6.8021633598671896</v>
      </c>
      <c r="G17">
        <f t="shared" si="194"/>
        <v>46.2694263743197</v>
      </c>
    </row>
    <row r="18">
      <c r="A18" s="17">
        <f t="shared" si="195"/>
        <v>15</v>
      </c>
      <c r="B18" s="17">
        <v>88</v>
      </c>
      <c r="C18" s="32">
        <f t="shared" si="196"/>
        <v>88.341384655008994</v>
      </c>
      <c r="D18" s="32">
        <f t="shared" si="197"/>
        <v>7.8963421840385903</v>
      </c>
      <c r="E18" s="14">
        <f t="shared" si="198"/>
        <v>88.426471272594</v>
      </c>
      <c r="F18" s="14">
        <f t="shared" si="193"/>
        <v>0.42647127259399997</v>
      </c>
      <c r="G18" s="14">
        <f t="shared" si="194"/>
        <v>0.18187774634794601</v>
      </c>
    </row>
    <row r="19"/>
    <row r="20">
      <c r="B20" s="15" t="s">
        <v>203</v>
      </c>
      <c r="C20" s="15" t="s">
        <v>233</v>
      </c>
      <c r="E20" s="15" t="s">
        <v>211</v>
      </c>
      <c r="F20" s="15" t="s">
        <v>212</v>
      </c>
      <c r="G20" s="15" t="s">
        <v>229</v>
      </c>
    </row>
    <row r="21">
      <c r="B21" s="22">
        <v>0.19951312797100493</v>
      </c>
      <c r="C21" s="23">
        <v>1</v>
      </c>
      <c r="E21" s="22">
        <f>AVERAGE(F4:F18)</f>
        <v>6.61447969055153</v>
      </c>
      <c r="F21" s="26">
        <f>AVERAGE(G4:G18)</f>
        <v>91.729752482433796</v>
      </c>
      <c r="G21" s="23">
        <f>SQRT(F21)</f>
        <v>9.5775650602036499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6.0892860000000004"/>
    <col customWidth="1" min="4" max="4" width="3.3660709999999998"/>
  </cols>
  <sheetData>
    <row r="1">
      <c r="A1" s="1" t="s">
        <v>238</v>
      </c>
    </row>
    <row r="3">
      <c r="A3" s="29" t="s">
        <v>206</v>
      </c>
      <c r="B3" s="29" t="s">
        <v>207</v>
      </c>
      <c r="D3" t="s">
        <v>35</v>
      </c>
      <c r="H3" t="s">
        <v>230</v>
      </c>
      <c r="I3" s="18">
        <v>5.0000000000000003e-02</v>
      </c>
    </row>
    <row r="4">
      <c r="A4">
        <v>1</v>
      </c>
      <c r="B4">
        <v>3</v>
      </c>
    </row>
    <row r="5">
      <c r="A5">
        <f t="shared" ref="A5:A10" si="199">A4+1</f>
        <v>2</v>
      </c>
      <c r="B5">
        <v>5</v>
      </c>
      <c r="D5" s="24" t="str">
        <f t="shared" ref="D5:D11" si="200">A3</f>
        <v>t</v>
      </c>
      <c r="E5" s="24" t="str">
        <f t="shared" ref="E5:E11" si="201">B3</f>
        <v>y</v>
      </c>
      <c r="F5" s="24" t="s">
        <v>231</v>
      </c>
      <c r="G5" s="24" t="s">
        <v>232</v>
      </c>
      <c r="H5" s="24" t="s">
        <v>193</v>
      </c>
      <c r="I5" s="24" t="s">
        <v>183</v>
      </c>
      <c r="J5" s="24" t="s">
        <v>215</v>
      </c>
      <c r="K5" s="24" t="s">
        <v>216</v>
      </c>
    </row>
    <row r="6">
      <c r="A6">
        <f t="shared" si="199"/>
        <v>3</v>
      </c>
      <c r="B6">
        <v>9</v>
      </c>
      <c r="D6">
        <f t="shared" si="200"/>
        <v>1</v>
      </c>
      <c r="E6">
        <f t="shared" si="201"/>
        <v>3</v>
      </c>
      <c r="F6">
        <f>E6</f>
        <v>3</v>
      </c>
      <c r="G6">
        <v>0</v>
      </c>
    </row>
    <row r="7">
      <c r="A7">
        <f t="shared" si="199"/>
        <v>4</v>
      </c>
      <c r="B7">
        <v>20</v>
      </c>
      <c r="D7">
        <f t="shared" si="200"/>
        <v>2</v>
      </c>
      <c r="E7">
        <f t="shared" si="201"/>
        <v>5</v>
      </c>
      <c r="F7">
        <f t="shared" ref="F7:F9" si="202">$E$27*E7+(1-$E$27)*(F6+G6)</f>
        <v>3.43041078422333</v>
      </c>
      <c r="G7">
        <f t="shared" ref="G7:G9" si="203">$F$27*(F7-F6)+(1-$F$27)*G6</f>
        <v>0.37875059402655797</v>
      </c>
      <c r="H7">
        <f t="shared" ref="H7:H10" si="204">F6+G6</f>
        <v>3</v>
      </c>
    </row>
    <row r="8">
      <c r="A8">
        <f t="shared" si="199"/>
        <v>5</v>
      </c>
      <c r="B8">
        <v>12</v>
      </c>
      <c r="D8">
        <f t="shared" si="200"/>
        <v>3</v>
      </c>
      <c r="E8">
        <f t="shared" si="201"/>
        <v>9</v>
      </c>
      <c r="F8">
        <f t="shared" si="202"/>
        <v>4.9262578392319796</v>
      </c>
      <c r="G8">
        <f t="shared" si="203"/>
        <v>1.3617671997684699</v>
      </c>
      <c r="H8">
        <f t="shared" si="204"/>
        <v>3.8091613782498901</v>
      </c>
      <c r="I8">
        <f t="shared" ref="I8:I10" si="205">SQRT(SUMXMY2(E$7:E7,H$7:H7)/COUNT(H$7:H7))</f>
        <v>2</v>
      </c>
      <c r="J8">
        <f t="shared" ref="J8:J9" si="206">H8-_xlfn.NORM.S.INV(1-I$3/2)*I8</f>
        <v>-0.11076639760995</v>
      </c>
      <c r="K8">
        <f t="shared" ref="K8:K9" si="207">H8+_xlfn.NORM.S.INV(1-I$3/2)*I8</f>
        <v>7.7290891541097304</v>
      </c>
    </row>
    <row r="9">
      <c r="A9">
        <f t="shared" si="199"/>
        <v>6</v>
      </c>
      <c r="B9">
        <v>17</v>
      </c>
      <c r="D9">
        <f t="shared" si="200"/>
        <v>4</v>
      </c>
      <c r="E9">
        <f t="shared" si="201"/>
        <v>20</v>
      </c>
      <c r="F9">
        <f t="shared" si="202"/>
        <v>9.2389159871076405</v>
      </c>
      <c r="G9">
        <f t="shared" si="203"/>
        <v>3.9584765306463598</v>
      </c>
      <c r="H9">
        <f t="shared" si="204"/>
        <v>6.2880250390004502</v>
      </c>
      <c r="I9">
        <f t="shared" si="205"/>
        <v>3.9334975274590298</v>
      </c>
      <c r="J9">
        <f t="shared" si="206"/>
        <v>-1.4214880680808799</v>
      </c>
      <c r="K9">
        <f t="shared" si="207"/>
        <v>13.9975381460818</v>
      </c>
    </row>
    <row r="10">
      <c r="A10">
        <f t="shared" si="199"/>
        <v>7</v>
      </c>
      <c r="B10">
        <v>22</v>
      </c>
      <c r="D10">
        <f t="shared" si="200"/>
        <v>5</v>
      </c>
      <c r="E10">
        <f t="shared" si="201"/>
        <v>12</v>
      </c>
      <c r="F10">
        <f>$E$27*E10+(1-$E$27)*(F9+G9)</f>
        <v>12.939707191459201</v>
      </c>
      <c r="G10">
        <f>$F$27*(F10-F9)+(1-$F$27)*G9</f>
        <v>3.7317199669552399</v>
      </c>
      <c r="H10">
        <f t="shared" si="204"/>
        <v>13.197392517754</v>
      </c>
      <c r="I10">
        <f t="shared" si="205"/>
        <v>8.5432831887226097</v>
      </c>
      <c r="J10">
        <f t="shared" ref="J10:J24" si="208">H10-_xlfn.NORM.S.INV(1-I$3/2)*I10</f>
        <v>-3.5471340165010998</v>
      </c>
      <c r="K10">
        <f t="shared" ref="K10:K24" si="209">H10+_xlfn.NORM.S.INV(1-I$3/2)*I10</f>
        <v>29.941919052009101</v>
      </c>
    </row>
    <row r="11">
      <c r="A11">
        <f t="shared" ref="A11:A18" si="210">A10+1</f>
        <v>8</v>
      </c>
      <c r="B11">
        <v>23</v>
      </c>
      <c r="D11">
        <f t="shared" si="200"/>
        <v>6</v>
      </c>
      <c r="E11">
        <f t="shared" si="201"/>
        <v>17</v>
      </c>
      <c r="F11">
        <f t="shared" ref="F11:F20" si="211">$E$27*E11+(1-$E$27)*(F10+G10)</f>
        <v>16.742137805624999</v>
      </c>
      <c r="G11">
        <f t="shared" ref="G11:G20" si="212">$F$27*(F11-F10)+(1-$F$27)*G10</f>
        <v>3.7939435464209099</v>
      </c>
      <c r="H11">
        <f t="shared" ref="H11:H20" si="213">F10+G10</f>
        <v>16.671427158414399</v>
      </c>
      <c r="I11">
        <f t="shared" ref="I11:I21" si="214">SQRT(SUMXMY2(E$7:E10,H$7:H10)/COUNT(H$7:H10))</f>
        <v>7.42288373493927</v>
      </c>
      <c r="J11">
        <f t="shared" si="208"/>
        <v>2.1228430936310998</v>
      </c>
      <c r="K11">
        <f t="shared" si="209"/>
        <v>31.220011223197702</v>
      </c>
    </row>
    <row r="12">
      <c r="A12">
        <f t="shared" si="210"/>
        <v>9</v>
      </c>
      <c r="B12">
        <v>51</v>
      </c>
      <c r="D12">
        <f t="shared" ref="D12:D20" si="215">A10</f>
        <v>7</v>
      </c>
      <c r="E12">
        <f t="shared" ref="E12:E20" si="216">B10</f>
        <v>22</v>
      </c>
      <c r="F12">
        <f t="shared" si="211"/>
        <v>20.8511245386984</v>
      </c>
      <c r="G12">
        <f t="shared" si="212"/>
        <v>4.0711735751804596</v>
      </c>
      <c r="H12">
        <f t="shared" si="213"/>
        <v>20.536081352045901</v>
      </c>
      <c r="I12">
        <f t="shared" si="214"/>
        <v>6.64085494318212</v>
      </c>
      <c r="J12">
        <f t="shared" si="208"/>
        <v>7.5202454784280004</v>
      </c>
      <c r="K12">
        <f t="shared" si="209"/>
        <v>33.5519172256638</v>
      </c>
    </row>
    <row r="13">
      <c r="A13">
        <f t="shared" si="210"/>
        <v>10</v>
      </c>
      <c r="B13">
        <v>41</v>
      </c>
      <c r="D13">
        <f t="shared" si="215"/>
        <v>8</v>
      </c>
      <c r="E13">
        <f t="shared" si="216"/>
        <v>23</v>
      </c>
      <c r="F13">
        <f t="shared" si="211"/>
        <v>24.508609194526102</v>
      </c>
      <c r="G13">
        <f t="shared" si="212"/>
        <v>3.7071377989166301</v>
      </c>
      <c r="H13">
        <f t="shared" si="213"/>
        <v>24.922298113878899</v>
      </c>
      <c r="I13">
        <f t="shared" si="214"/>
        <v>6.0916312770029002</v>
      </c>
      <c r="J13">
        <f t="shared" si="208"/>
        <v>12.9829207923688</v>
      </c>
      <c r="K13">
        <f t="shared" si="209"/>
        <v>36.861675435389003</v>
      </c>
    </row>
    <row r="14">
      <c r="A14">
        <f t="shared" si="210"/>
        <v>11</v>
      </c>
      <c r="B14">
        <v>56</v>
      </c>
      <c r="D14">
        <f t="shared" si="215"/>
        <v>9</v>
      </c>
      <c r="E14">
        <f t="shared" si="216"/>
        <v>51</v>
      </c>
      <c r="F14">
        <f t="shared" si="211"/>
        <v>33.1190410956901</v>
      </c>
      <c r="G14">
        <f t="shared" si="212"/>
        <v>8.0219124792589707</v>
      </c>
      <c r="H14">
        <f t="shared" si="213"/>
        <v>28.2157469934427</v>
      </c>
      <c r="I14">
        <f t="shared" si="214"/>
        <v>5.6863628813451799</v>
      </c>
      <c r="J14">
        <f t="shared" si="208"/>
        <v>17.070681092341001</v>
      </c>
      <c r="K14">
        <f t="shared" si="209"/>
        <v>39.360812894544402</v>
      </c>
    </row>
    <row r="15">
      <c r="A15">
        <f t="shared" si="210"/>
        <v>12</v>
      </c>
      <c r="B15">
        <v>75</v>
      </c>
      <c r="D15">
        <f t="shared" si="215"/>
        <v>10</v>
      </c>
      <c r="E15">
        <f t="shared" si="216"/>
        <v>41</v>
      </c>
      <c r="F15">
        <f t="shared" si="211"/>
        <v>41.110619605582599</v>
      </c>
      <c r="G15">
        <f t="shared" si="212"/>
        <v>7.9952193541379</v>
      </c>
      <c r="H15">
        <f t="shared" si="213"/>
        <v>41.140953574949101</v>
      </c>
      <c r="I15">
        <f t="shared" si="214"/>
        <v>9.6531422655734094</v>
      </c>
      <c r="J15">
        <f t="shared" si="208"/>
        <v>22.221143329375199</v>
      </c>
      <c r="K15">
        <f t="shared" si="209"/>
        <v>60.060763820523</v>
      </c>
    </row>
    <row r="16">
      <c r="A16">
        <f t="shared" si="210"/>
        <v>13</v>
      </c>
      <c r="B16">
        <v>60</v>
      </c>
      <c r="D16">
        <f t="shared" si="215"/>
        <v>11</v>
      </c>
      <c r="E16">
        <f t="shared" si="216"/>
        <v>56</v>
      </c>
      <c r="F16">
        <f t="shared" si="211"/>
        <v>50.589499589674801</v>
      </c>
      <c r="G16">
        <f t="shared" si="212"/>
        <v>9.3008031487982006</v>
      </c>
      <c r="H16">
        <f t="shared" si="213"/>
        <v>49.105838959720501</v>
      </c>
      <c r="I16">
        <f t="shared" si="214"/>
        <v>9.1011910863083596</v>
      </c>
      <c r="J16">
        <f t="shared" si="208"/>
        <v>31.267833093406399</v>
      </c>
      <c r="K16">
        <f t="shared" si="209"/>
        <v>66.943844826034606</v>
      </c>
    </row>
    <row r="17">
      <c r="A17">
        <f t="shared" si="210"/>
        <v>14</v>
      </c>
      <c r="B17">
        <v>75</v>
      </c>
      <c r="D17">
        <f t="shared" si="215"/>
        <v>12</v>
      </c>
      <c r="E17">
        <f t="shared" si="216"/>
        <v>75</v>
      </c>
      <c r="F17">
        <f t="shared" si="211"/>
        <v>63.141991062328401</v>
      </c>
      <c r="G17">
        <f t="shared" si="212"/>
        <v>12.1622065554805</v>
      </c>
      <c r="H17">
        <f t="shared" si="213"/>
        <v>59.890302738472997</v>
      </c>
      <c r="I17">
        <f t="shared" si="214"/>
        <v>8.9051365467060393</v>
      </c>
      <c r="J17">
        <f t="shared" si="208"/>
        <v>42.436556689844203</v>
      </c>
      <c r="K17">
        <f t="shared" si="209"/>
        <v>77.344048787101798</v>
      </c>
    </row>
    <row r="18">
      <c r="A18" s="14">
        <f t="shared" si="210"/>
        <v>15</v>
      </c>
      <c r="B18" s="14">
        <v>88</v>
      </c>
      <c r="D18">
        <f t="shared" si="215"/>
        <v>13</v>
      </c>
      <c r="E18">
        <f t="shared" si="216"/>
        <v>60</v>
      </c>
      <c r="F18">
        <f t="shared" si="211"/>
        <v>72.010651768513995</v>
      </c>
      <c r="G18">
        <f t="shared" si="212"/>
        <v>9.2639695860580904</v>
      </c>
      <c r="H18">
        <f t="shared" si="213"/>
        <v>75.304197617808896</v>
      </c>
      <c r="I18">
        <f t="shared" si="214"/>
        <v>9.63571727051254</v>
      </c>
      <c r="J18">
        <f t="shared" si="208"/>
        <v>56.418539733301699</v>
      </c>
      <c r="K18">
        <f t="shared" si="209"/>
        <v>94.189855502316107</v>
      </c>
    </row>
    <row r="19">
      <c r="D19">
        <f t="shared" si="215"/>
        <v>14</v>
      </c>
      <c r="E19">
        <f t="shared" si="216"/>
        <v>75</v>
      </c>
      <c r="F19">
        <f t="shared" si="211"/>
        <v>79.924289005609197</v>
      </c>
      <c r="G19">
        <f t="shared" si="212"/>
        <v>8.0757113033901593</v>
      </c>
      <c r="H19">
        <f t="shared" si="213"/>
        <v>81.274621354572105</v>
      </c>
      <c r="I19">
        <f t="shared" si="214"/>
        <v>10.2287828585758</v>
      </c>
      <c r="J19">
        <f t="shared" si="208"/>
        <v>61.226576334287003</v>
      </c>
      <c r="K19">
        <f t="shared" si="209"/>
        <v>101.32266637485699</v>
      </c>
    </row>
    <row r="20">
      <c r="D20" s="14">
        <f t="shared" si="215"/>
        <v>15</v>
      </c>
      <c r="E20" s="14">
        <f t="shared" si="216"/>
        <v>88</v>
      </c>
      <c r="F20" s="14">
        <f t="shared" si="211"/>
        <v>88.000000242501102</v>
      </c>
      <c r="G20" s="14">
        <f t="shared" si="212"/>
        <v>8.0757112448733803</v>
      </c>
      <c r="H20" s="14">
        <f t="shared" si="213"/>
        <v>88.000000308999404</v>
      </c>
      <c r="I20" s="14">
        <f t="shared" si="214"/>
        <v>9.9803917695495095</v>
      </c>
      <c r="J20" s="14">
        <f t="shared" si="208"/>
        <v>68.438792853289399</v>
      </c>
      <c r="K20" s="14">
        <f t="shared" si="209"/>
        <v>107.561207764709</v>
      </c>
    </row>
    <row r="21">
      <c r="D21" s="31" t="s">
        <v>217</v>
      </c>
      <c r="H21">
        <f t="shared" ref="H21:H24" si="217">$F$20+$G$20*(ROW(F21)-ROW($F$20))</f>
        <v>96.075711487374505</v>
      </c>
      <c r="I21">
        <f t="shared" si="214"/>
        <v>9.6173461529452506</v>
      </c>
      <c r="J21">
        <f t="shared" si="208"/>
        <v>77.226060329880099</v>
      </c>
      <c r="K21">
        <f t="shared" si="209"/>
        <v>114.925362644869</v>
      </c>
    </row>
    <row r="22">
      <c r="D22" s="31" t="s">
        <v>217</v>
      </c>
      <c r="H22">
        <f t="shared" si="217"/>
        <v>104.15142273224799</v>
      </c>
      <c r="I22">
        <f t="shared" ref="I22:I24" si="218">I$21*SQRT((I21/I$21)^2-1+(E$27*(1+(ROW(H22)-ROW(H$21))*F$27))^2+1)</f>
        <v>10.374640713108199</v>
      </c>
      <c r="J22">
        <f t="shared" si="208"/>
        <v>83.817501584308403</v>
      </c>
      <c r="K22">
        <f t="shared" si="209"/>
        <v>124.485343880188</v>
      </c>
    </row>
    <row r="23">
      <c r="D23" s="31" t="s">
        <v>217</v>
      </c>
      <c r="H23">
        <f t="shared" si="217"/>
        <v>112.227133977121</v>
      </c>
      <c r="I23">
        <f t="shared" si="218"/>
        <v>11.843281486183701</v>
      </c>
      <c r="J23">
        <f t="shared" si="208"/>
        <v>89.014729949612004</v>
      </c>
      <c r="K23">
        <f t="shared" si="209"/>
        <v>135.43953800463001</v>
      </c>
    </row>
    <row r="24">
      <c r="D24" s="31" t="s">
        <v>217</v>
      </c>
      <c r="H24">
        <f t="shared" si="217"/>
        <v>120.302845221995</v>
      </c>
      <c r="I24">
        <f t="shared" si="218"/>
        <v>14.0363087995373</v>
      </c>
      <c r="J24">
        <f t="shared" si="208"/>
        <v>92.792186855068906</v>
      </c>
      <c r="K24">
        <f t="shared" si="209"/>
        <v>147.81350358892101</v>
      </c>
    </row>
    <row r="26">
      <c r="E26" s="25" t="s">
        <v>203</v>
      </c>
      <c r="F26" s="25" t="s">
        <v>233</v>
      </c>
      <c r="G26" s="25" t="s">
        <v>211</v>
      </c>
      <c r="H26" s="25" t="s">
        <v>212</v>
      </c>
      <c r="I26" s="25" t="s">
        <v>218</v>
      </c>
    </row>
    <row r="27">
      <c r="E27" s="22">
        <v>0.21520539211166048</v>
      </c>
      <c r="F27" s="23">
        <v>0.87997468444014015</v>
      </c>
      <c r="G27" s="30">
        <f>SUMPRODUCT(ABS(E7:E20-H7:H20))/COUNT(H7:H20)</f>
        <v>6.5944914191868298</v>
      </c>
      <c r="H27" s="26">
        <f>SUMXMY2(E7:E20,H7:H20)/COUNT(H7:H20)</f>
        <v>92.493347025570699</v>
      </c>
      <c r="I27" s="23">
        <f>SUMPRODUCT(ABS(1-H7:H20/E7:E20))/COUNT(H7:H20)</f>
        <v>0.217505802581973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6.7232139999999996"/>
    <col customWidth="1" min="2" max="2" width="5.8125"/>
  </cols>
  <sheetData>
    <row r="1">
      <c r="A1" s="1" t="s">
        <v>239</v>
      </c>
    </row>
    <row r="3">
      <c r="A3" s="4" t="s">
        <v>240</v>
      </c>
      <c r="B3" s="4" t="s">
        <v>206</v>
      </c>
      <c r="C3" s="4" t="s">
        <v>207</v>
      </c>
      <c r="D3" s="4" t="s">
        <v>231</v>
      </c>
      <c r="E3" s="4" t="s">
        <v>232</v>
      </c>
      <c r="F3" s="4" t="s">
        <v>241</v>
      </c>
      <c r="G3" s="4" t="s">
        <v>208</v>
      </c>
      <c r="H3" s="4" t="s">
        <v>209</v>
      </c>
      <c r="I3" s="4" t="s">
        <v>210</v>
      </c>
    </row>
    <row r="4">
      <c r="A4" s="15" t="s">
        <v>242</v>
      </c>
      <c r="B4" s="15">
        <v>1</v>
      </c>
      <c r="C4" s="15">
        <v>10</v>
      </c>
      <c r="D4" s="31"/>
      <c r="E4" s="31"/>
      <c r="F4" s="31">
        <f t="shared" ref="F4:F7" si="219">C4/AVERAGE(C$4:C$7)</f>
        <v>0.70175438596491202</v>
      </c>
    </row>
    <row r="5">
      <c r="A5" s="15" t="s">
        <v>243</v>
      </c>
      <c r="B5" s="15">
        <f t="shared" ref="B5:B10" si="220">B4+1</f>
        <v>2</v>
      </c>
      <c r="C5" s="15">
        <v>14</v>
      </c>
      <c r="D5" s="31"/>
      <c r="E5" s="31"/>
      <c r="F5" s="31">
        <f t="shared" si="219"/>
        <v>0.98245614035087703</v>
      </c>
      <c r="G5" s="31"/>
      <c r="H5" s="31"/>
      <c r="I5" s="31"/>
    </row>
    <row r="6">
      <c r="A6" s="15" t="s">
        <v>244</v>
      </c>
      <c r="B6" s="15">
        <f t="shared" si="220"/>
        <v>3</v>
      </c>
      <c r="C6" s="15">
        <v>8</v>
      </c>
      <c r="D6" s="31"/>
      <c r="E6" s="31"/>
      <c r="F6" s="31">
        <f t="shared" si="219"/>
        <v>0.56140350877193002</v>
      </c>
      <c r="G6" s="31"/>
      <c r="H6" s="31"/>
      <c r="I6" s="31"/>
    </row>
    <row r="7">
      <c r="A7" s="15" t="s">
        <v>245</v>
      </c>
      <c r="B7" s="15">
        <f t="shared" si="220"/>
        <v>4</v>
      </c>
      <c r="C7" s="15">
        <v>25</v>
      </c>
      <c r="D7" s="31">
        <f>C7/F7</f>
        <v>14.25</v>
      </c>
      <c r="E7" s="31">
        <v>0</v>
      </c>
      <c r="F7" s="31">
        <f t="shared" si="219"/>
        <v>1.7543859649122799</v>
      </c>
      <c r="G7" s="31"/>
      <c r="H7" s="31"/>
      <c r="I7" s="31"/>
    </row>
    <row r="8">
      <c r="A8" s="15" t="s">
        <v>246</v>
      </c>
      <c r="B8" s="15">
        <f t="shared" si="220"/>
        <v>5</v>
      </c>
      <c r="C8" s="15">
        <v>16</v>
      </c>
      <c r="D8" s="31">
        <f t="shared" ref="D8:D9" si="221">C$22*C8/F4+(1-C$22)*(D7+E7)</f>
        <v>18.524999999999999</v>
      </c>
      <c r="E8" s="31">
        <f t="shared" ref="E8:E9" si="222">D$22*(D8-D7)+(1-D$22)*E7</f>
        <v>2.1375000000000002</v>
      </c>
      <c r="F8" s="31">
        <f t="shared" ref="F8:F9" si="223">E$22*(C8/D8)+(1-E$22)*F4</f>
        <v>0.78272604588394101</v>
      </c>
      <c r="G8">
        <f t="shared" ref="G8:G10" si="224">(D7+E7)*F4</f>
        <v>10</v>
      </c>
      <c r="H8">
        <f t="shared" ref="H8:H9" si="225">ABS(C8-G8)</f>
        <v>6</v>
      </c>
      <c r="I8">
        <f t="shared" ref="I8:I9" si="226">(C8-G8)^2</f>
        <v>36</v>
      </c>
    </row>
    <row r="9">
      <c r="A9" s="15" t="s">
        <v>247</v>
      </c>
      <c r="B9" s="15">
        <f t="shared" si="220"/>
        <v>6</v>
      </c>
      <c r="C9" s="15">
        <v>22</v>
      </c>
      <c r="D9" s="31">
        <f t="shared" si="221"/>
        <v>21.527678571428599</v>
      </c>
      <c r="E9" s="31">
        <f t="shared" si="222"/>
        <v>2.5700892857143001</v>
      </c>
      <c r="F9" s="31">
        <f t="shared" si="223"/>
        <v>1.00219816681183</v>
      </c>
      <c r="G9">
        <f t="shared" si="224"/>
        <v>20.300000000000001</v>
      </c>
      <c r="H9">
        <f t="shared" si="225"/>
        <v>1.7</v>
      </c>
      <c r="I9">
        <f t="shared" si="226"/>
        <v>2.8900000000000001</v>
      </c>
    </row>
    <row r="10">
      <c r="A10" s="15" t="s">
        <v>248</v>
      </c>
      <c r="B10" s="15">
        <f t="shared" si="220"/>
        <v>7</v>
      </c>
      <c r="C10" s="15">
        <v>14</v>
      </c>
      <c r="D10" s="31">
        <f>C$22*C10/F6+(1-C$22)*(D9+E9)</f>
        <v>24.517633928571499</v>
      </c>
      <c r="E10" s="31">
        <f>D$22*(D10-D9)+(1-D$22)*E9</f>
        <v>2.7800223214286</v>
      </c>
      <c r="F10" s="31">
        <f t="shared" ref="F10:F13" si="227">E$22*(C10/D10)+(1-E$22)*F6</f>
        <v>0.56621054452425801</v>
      </c>
      <c r="G10">
        <f t="shared" si="224"/>
        <v>13.5285714285715</v>
      </c>
      <c r="H10">
        <f t="shared" ref="H10:H19" si="228">ABS(C10-G10)</f>
        <v>0.47142857142850103</v>
      </c>
      <c r="I10">
        <f t="shared" ref="I10:I19" si="229">(C10-G10)^2</f>
        <v>0.222244897959117</v>
      </c>
    </row>
    <row r="11">
      <c r="A11" s="15" t="s">
        <v>249</v>
      </c>
      <c r="B11" s="15">
        <f t="shared" ref="B11:B19" si="230">B10+1</f>
        <v>8</v>
      </c>
      <c r="C11" s="15">
        <v>35</v>
      </c>
      <c r="D11" s="31">
        <f t="shared" ref="D11:D13" si="231">C$22*C11/F7+(1-C$22)*(D10+E10)</f>
        <v>23.623828125000099</v>
      </c>
      <c r="E11" s="31">
        <f t="shared" ref="E11:E19" si="232">D$22*(D11-D10)+(1-D$22)*E10</f>
        <v>0.94310825892859995</v>
      </c>
      <c r="F11" s="31">
        <f t="shared" si="227"/>
        <v>1.6179704681118401</v>
      </c>
      <c r="G11">
        <f t="shared" ref="G11:G13" si="233">(D10+E10)*F7</f>
        <v>47.890625000000199</v>
      </c>
      <c r="H11">
        <f t="shared" si="228"/>
        <v>12.890625000000201</v>
      </c>
      <c r="I11">
        <f t="shared" si="229"/>
        <v>166.16821289063</v>
      </c>
    </row>
    <row r="12">
      <c r="A12" s="15" t="s">
        <v>250</v>
      </c>
      <c r="B12" s="15">
        <f t="shared" si="230"/>
        <v>9</v>
      </c>
      <c r="C12" s="15">
        <v>15</v>
      </c>
      <c r="D12" s="31">
        <f t="shared" si="231"/>
        <v>21.865364743688499</v>
      </c>
      <c r="E12" s="31">
        <f t="shared" si="232"/>
        <v>-0.4076775611915</v>
      </c>
      <c r="F12" s="31">
        <f t="shared" si="227"/>
        <v>0.73437125024194805</v>
      </c>
      <c r="G12">
        <f t="shared" si="233"/>
        <v>19.229180975274801</v>
      </c>
      <c r="H12">
        <f t="shared" si="228"/>
        <v>4.2291809752748</v>
      </c>
      <c r="I12">
        <f t="shared" si="229"/>
        <v>17.885971721626301</v>
      </c>
    </row>
    <row r="13">
      <c r="A13" s="15" t="s">
        <v>251</v>
      </c>
      <c r="B13" s="15">
        <f t="shared" si="230"/>
        <v>10</v>
      </c>
      <c r="C13" s="15">
        <v>27</v>
      </c>
      <c r="D13" s="31">
        <f t="shared" si="231"/>
        <v>24.199233427368299</v>
      </c>
      <c r="E13" s="31">
        <f t="shared" si="232"/>
        <v>0.96309556124415008</v>
      </c>
      <c r="F13" s="31">
        <f t="shared" si="227"/>
        <v>1.0589679944406001</v>
      </c>
      <c r="G13">
        <f t="shared" si="233"/>
        <v>21.504854758320199</v>
      </c>
      <c r="H13">
        <f t="shared" si="228"/>
        <v>5.4951452416797997</v>
      </c>
      <c r="I13">
        <f t="shared" si="229"/>
        <v>30.196621227156101</v>
      </c>
    </row>
    <row r="14">
      <c r="A14" s="15" t="s">
        <v>252</v>
      </c>
      <c r="B14" s="15">
        <f t="shared" si="230"/>
        <v>11</v>
      </c>
      <c r="C14" s="15">
        <v>18</v>
      </c>
      <c r="D14" s="31">
        <f t="shared" ref="D14:D19" si="234">C$22*C14/F10+(1-C$22)*(D13+E13)</f>
        <v>28.476311780130899</v>
      </c>
      <c r="E14" s="31">
        <f t="shared" si="232"/>
        <v>2.6200869570033798</v>
      </c>
      <c r="F14" s="31">
        <f t="shared" ref="F14:F19" si="235">E$22*(C14/D14)+(1-E$22)*F10</f>
        <v>0.59915743763698903</v>
      </c>
      <c r="G14">
        <f t="shared" ref="G14:G19" si="236">(D13+E13)*F10</f>
        <v>14.247175998140801</v>
      </c>
      <c r="H14">
        <f t="shared" si="228"/>
        <v>3.7528240018591998</v>
      </c>
      <c r="I14">
        <f t="shared" si="229"/>
        <v>14.0836879889305</v>
      </c>
    </row>
    <row r="15">
      <c r="A15" s="15" t="s">
        <v>253</v>
      </c>
      <c r="B15" s="15">
        <f t="shared" si="230"/>
        <v>12</v>
      </c>
      <c r="C15" s="15">
        <v>40</v>
      </c>
      <c r="D15" s="31">
        <f t="shared" si="234"/>
        <v>27.909364417110901</v>
      </c>
      <c r="E15" s="31">
        <f t="shared" si="232"/>
        <v>1.02656979699169</v>
      </c>
      <c r="F15" s="31">
        <f t="shared" si="235"/>
        <v>1.5255905892010999</v>
      </c>
      <c r="G15">
        <f t="shared" si="236"/>
        <v>50.3130548213136</v>
      </c>
      <c r="H15">
        <f t="shared" si="228"/>
        <v>10.3130548213136</v>
      </c>
      <c r="I15">
        <f t="shared" si="229"/>
        <v>106.35909974742</v>
      </c>
    </row>
    <row r="16">
      <c r="A16" s="15" t="s">
        <v>254</v>
      </c>
      <c r="B16" s="15">
        <f t="shared" si="230"/>
        <v>13</v>
      </c>
      <c r="C16" s="15">
        <v>28</v>
      </c>
      <c r="D16" s="31">
        <f t="shared" si="234"/>
        <v>33.531894235717502</v>
      </c>
      <c r="E16" s="31">
        <f t="shared" si="232"/>
        <v>3.32454980779915</v>
      </c>
      <c r="F16" s="31">
        <f t="shared" si="235"/>
        <v>0.78469857269217003</v>
      </c>
      <c r="G16">
        <f t="shared" si="236"/>
        <v>21.2497181857293</v>
      </c>
      <c r="H16">
        <f t="shared" si="228"/>
        <v>6.7502818142707</v>
      </c>
      <c r="I16">
        <f t="shared" si="229"/>
        <v>45.566304572073697</v>
      </c>
    </row>
    <row r="17">
      <c r="A17" s="15" t="s">
        <v>255</v>
      </c>
      <c r="B17" s="15">
        <f t="shared" si="230"/>
        <v>14</v>
      </c>
      <c r="C17" s="15">
        <v>40</v>
      </c>
      <c r="D17" s="31">
        <f t="shared" si="234"/>
        <v>37.314534077454702</v>
      </c>
      <c r="E17" s="31">
        <f t="shared" si="232"/>
        <v>3.5535948247681799</v>
      </c>
      <c r="F17" s="31">
        <f t="shared" si="235"/>
        <v>1.06546817857134</v>
      </c>
      <c r="G17">
        <f t="shared" si="236"/>
        <v>39.029794630975097</v>
      </c>
      <c r="H17">
        <f t="shared" si="228"/>
        <v>0.97020536902490284</v>
      </c>
      <c r="I17">
        <f t="shared" si="229"/>
        <v>0.94129845808474799</v>
      </c>
    </row>
    <row r="18">
      <c r="A18" s="15" t="s">
        <v>256</v>
      </c>
      <c r="B18" s="15">
        <f t="shared" si="230"/>
        <v>15</v>
      </c>
      <c r="C18" s="15">
        <v>25</v>
      </c>
      <c r="D18" s="31">
        <f t="shared" si="234"/>
        <v>41.296694562653798</v>
      </c>
      <c r="E18" s="31">
        <f t="shared" si="232"/>
        <v>3.7678776549836401</v>
      </c>
      <c r="F18" s="31">
        <f t="shared" si="235"/>
        <v>0.60226638262256704</v>
      </c>
      <c r="G18">
        <f t="shared" si="236"/>
        <v>24.486443394074101</v>
      </c>
      <c r="H18">
        <f t="shared" si="228"/>
        <v>0.51355660592589902</v>
      </c>
      <c r="I18">
        <f t="shared" si="229"/>
        <v>0.26374038749012901</v>
      </c>
    </row>
    <row r="19">
      <c r="A19" s="17" t="s">
        <v>257</v>
      </c>
      <c r="B19" s="17">
        <f t="shared" si="230"/>
        <v>16</v>
      </c>
      <c r="C19" s="17">
        <v>65</v>
      </c>
      <c r="D19" s="32">
        <f t="shared" si="234"/>
        <v>43.8355113843621</v>
      </c>
      <c r="E19" s="32">
        <f t="shared" si="232"/>
        <v>3.1533472383459702</v>
      </c>
      <c r="F19" s="32">
        <f t="shared" si="235"/>
        <v>1.50420332141769</v>
      </c>
      <c r="G19" s="14">
        <f t="shared" si="236"/>
        <v>68.750087281600997</v>
      </c>
      <c r="H19" s="14">
        <f t="shared" si="228"/>
        <v>3.750087281601</v>
      </c>
      <c r="I19" s="14">
        <f t="shared" si="229"/>
        <v>14.0631546196256</v>
      </c>
    </row>
    <row r="21">
      <c r="C21" s="15" t="s">
        <v>203</v>
      </c>
      <c r="D21" s="15" t="s">
        <v>233</v>
      </c>
      <c r="E21" s="15" t="s">
        <v>182</v>
      </c>
      <c r="H21" s="15" t="s">
        <v>211</v>
      </c>
      <c r="I21" s="15" t="s">
        <v>212</v>
      </c>
    </row>
    <row r="22">
      <c r="C22" s="22">
        <v>0.5</v>
      </c>
      <c r="D22" s="26">
        <v>0.5</v>
      </c>
      <c r="E22" s="23">
        <v>0.5</v>
      </c>
      <c r="H22" s="22">
        <f>AVERAGE(H4:H19)</f>
        <v>4.73636580686488</v>
      </c>
      <c r="I22" s="23">
        <f>AVERAGE(I4:I19)</f>
        <v>36.220028042583003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7.5446429999999998"/>
    <col customWidth="1" min="12" max="13" style="15" width="9.1785709999999998"/>
  </cols>
  <sheetData>
    <row r="1">
      <c r="A1" s="1" t="s">
        <v>258</v>
      </c>
    </row>
    <row r="3">
      <c r="A3" s="4" t="s">
        <v>240</v>
      </c>
      <c r="B3" s="4" t="s">
        <v>206</v>
      </c>
      <c r="C3" s="4" t="s">
        <v>207</v>
      </c>
      <c r="D3" s="4" t="s">
        <v>231</v>
      </c>
      <c r="E3" s="4" t="s">
        <v>232</v>
      </c>
      <c r="F3" s="4" t="s">
        <v>241</v>
      </c>
      <c r="G3" s="4" t="s">
        <v>208</v>
      </c>
      <c r="H3" s="4" t="s">
        <v>209</v>
      </c>
      <c r="I3" s="4" t="s">
        <v>210</v>
      </c>
      <c r="K3" s="4" t="s">
        <v>259</v>
      </c>
      <c r="L3" s="4" t="s">
        <v>206</v>
      </c>
      <c r="M3" s="4" t="s">
        <v>207</v>
      </c>
      <c r="N3" s="4" t="s">
        <v>208</v>
      </c>
    </row>
    <row r="4">
      <c r="A4" s="15" t="s">
        <v>242</v>
      </c>
      <c r="B4" s="15">
        <v>1</v>
      </c>
      <c r="C4" s="15">
        <v>10</v>
      </c>
      <c r="D4" s="31"/>
      <c r="E4" s="31"/>
      <c r="F4" s="31">
        <f t="shared" ref="F4:F7" si="237">C4/AVERAGE(C$4:C$7)</f>
        <v>0.70175438596491202</v>
      </c>
      <c r="K4" s="15" t="s">
        <v>242</v>
      </c>
      <c r="L4" s="15">
        <v>1</v>
      </c>
      <c r="M4" s="15">
        <v>10</v>
      </c>
      <c r="N4" s="31"/>
    </row>
    <row r="5">
      <c r="A5" s="15" t="s">
        <v>243</v>
      </c>
      <c r="B5" s="15">
        <f t="shared" ref="B5:B10" si="238">B4+1</f>
        <v>2</v>
      </c>
      <c r="C5" s="15">
        <v>14</v>
      </c>
      <c r="D5" s="31"/>
      <c r="E5" s="31"/>
      <c r="F5" s="31">
        <f t="shared" si="237"/>
        <v>0.98245614035087703</v>
      </c>
      <c r="G5" s="31"/>
      <c r="H5" s="31"/>
      <c r="I5" s="31"/>
      <c r="K5" s="15" t="s">
        <v>243</v>
      </c>
      <c r="L5" s="15">
        <f t="shared" ref="L5:L10" si="239">L4+1</f>
        <v>2</v>
      </c>
      <c r="M5" s="15">
        <v>14</v>
      </c>
      <c r="N5" s="31"/>
    </row>
    <row r="6">
      <c r="A6" s="15" t="s">
        <v>244</v>
      </c>
      <c r="B6" s="15">
        <f t="shared" si="238"/>
        <v>3</v>
      </c>
      <c r="C6" s="15">
        <v>8</v>
      </c>
      <c r="D6" s="31"/>
      <c r="E6" s="31"/>
      <c r="F6" s="31">
        <f t="shared" si="237"/>
        <v>0.56140350877193002</v>
      </c>
      <c r="G6" s="31"/>
      <c r="H6" s="31"/>
      <c r="I6" s="31"/>
      <c r="K6" s="15" t="s">
        <v>244</v>
      </c>
      <c r="L6" s="15">
        <f t="shared" si="239"/>
        <v>3</v>
      </c>
      <c r="M6" s="15">
        <v>8</v>
      </c>
      <c r="N6" s="31"/>
    </row>
    <row r="7">
      <c r="A7" s="15" t="s">
        <v>245</v>
      </c>
      <c r="B7" s="15">
        <f t="shared" si="238"/>
        <v>4</v>
      </c>
      <c r="C7" s="15">
        <v>25</v>
      </c>
      <c r="D7" s="31">
        <f>C7/F7</f>
        <v>14.25</v>
      </c>
      <c r="E7" s="31">
        <v>0</v>
      </c>
      <c r="F7" s="31">
        <f t="shared" si="237"/>
        <v>1.7543859649122799</v>
      </c>
      <c r="G7" s="31"/>
      <c r="H7" s="31"/>
      <c r="I7" s="31"/>
      <c r="K7" s="15" t="s">
        <v>245</v>
      </c>
      <c r="L7" s="15">
        <f t="shared" si="239"/>
        <v>4</v>
      </c>
      <c r="M7" s="15">
        <v>25</v>
      </c>
      <c r="N7" s="31"/>
    </row>
    <row r="8">
      <c r="A8" s="15" t="s">
        <v>246</v>
      </c>
      <c r="B8" s="15">
        <f t="shared" si="238"/>
        <v>5</v>
      </c>
      <c r="C8" s="15">
        <v>16</v>
      </c>
      <c r="D8" s="31">
        <f t="shared" ref="D8:D9" si="240">C$22*C8/F4+(1-C$22)*(D7+E7)</f>
        <v>18.524999999999999</v>
      </c>
      <c r="E8" s="31">
        <f t="shared" ref="E8:E9" si="241">D$22*(D8-D7)+(1-D$22)*E7</f>
        <v>2.1375000000000002</v>
      </c>
      <c r="F8" s="31">
        <f t="shared" ref="F8:F9" si="242">E$22*(C8/D8)+(1-E$22)*F4</f>
        <v>0.78272604588394101</v>
      </c>
      <c r="G8">
        <f t="shared" ref="G8:G10" si="243">(D7+E7)*F4</f>
        <v>10</v>
      </c>
      <c r="H8">
        <f t="shared" ref="H8:H9" si="244">ABS(C8-G8)</f>
        <v>6</v>
      </c>
      <c r="I8">
        <f t="shared" ref="I8:I9" si="245">(C8-G8)^2</f>
        <v>36</v>
      </c>
      <c r="K8" s="15" t="s">
        <v>246</v>
      </c>
      <c r="L8" s="15">
        <f t="shared" si="239"/>
        <v>5</v>
      </c>
      <c r="M8" s="15">
        <v>16</v>
      </c>
      <c r="N8" s="31">
        <f t="shared" ref="N8:N9" si="246">G8</f>
        <v>10</v>
      </c>
    </row>
    <row r="9">
      <c r="A9" s="15" t="s">
        <v>247</v>
      </c>
      <c r="B9" s="15">
        <f t="shared" si="238"/>
        <v>6</v>
      </c>
      <c r="C9" s="15">
        <v>22</v>
      </c>
      <c r="D9" s="31">
        <f t="shared" si="240"/>
        <v>21.527678571428599</v>
      </c>
      <c r="E9" s="31">
        <f t="shared" si="241"/>
        <v>2.5700892857143001</v>
      </c>
      <c r="F9" s="31">
        <f t="shared" si="242"/>
        <v>1.00219816681183</v>
      </c>
      <c r="G9">
        <f t="shared" si="243"/>
        <v>20.300000000000001</v>
      </c>
      <c r="H9">
        <f t="shared" si="244"/>
        <v>1.7</v>
      </c>
      <c r="I9">
        <f t="shared" si="245"/>
        <v>2.8900000000000001</v>
      </c>
      <c r="K9" s="15" t="s">
        <v>247</v>
      </c>
      <c r="L9" s="15">
        <f t="shared" si="239"/>
        <v>6</v>
      </c>
      <c r="M9" s="15">
        <v>22</v>
      </c>
      <c r="N9" s="31">
        <f t="shared" si="246"/>
        <v>20.300000000000001</v>
      </c>
    </row>
    <row r="10">
      <c r="A10" s="15" t="s">
        <v>248</v>
      </c>
      <c r="B10" s="15">
        <f t="shared" si="238"/>
        <v>7</v>
      </c>
      <c r="C10" s="15">
        <v>14</v>
      </c>
      <c r="D10" s="31">
        <f>C$22*C10/F6+(1-C$22)*(D9+E9)</f>
        <v>24.517633928571499</v>
      </c>
      <c r="E10" s="31">
        <f>D$22*(D10-D9)+(1-D$22)*E9</f>
        <v>2.7800223214286</v>
      </c>
      <c r="F10" s="31">
        <f t="shared" ref="F10:F13" si="247">E$22*(C10/D10)+(1-E$22)*F6</f>
        <v>0.56621054452425801</v>
      </c>
      <c r="G10">
        <f t="shared" si="243"/>
        <v>13.5285714285715</v>
      </c>
      <c r="H10">
        <f t="shared" ref="H10:H19" si="248">ABS(C10-G10)</f>
        <v>0.47142857142850103</v>
      </c>
      <c r="I10">
        <f t="shared" ref="I10:I19" si="249">(C10-G10)^2</f>
        <v>0.222244897959117</v>
      </c>
      <c r="K10" s="15" t="s">
        <v>248</v>
      </c>
      <c r="L10" s="15">
        <f t="shared" si="239"/>
        <v>7</v>
      </c>
      <c r="M10" s="15">
        <v>14</v>
      </c>
      <c r="N10" s="31">
        <f t="shared" ref="N10:N18" si="250">G10</f>
        <v>13.5285714285715</v>
      </c>
    </row>
    <row r="11">
      <c r="A11" s="15" t="s">
        <v>249</v>
      </c>
      <c r="B11" s="15">
        <f t="shared" ref="B11:B19" si="251">B10+1</f>
        <v>8</v>
      </c>
      <c r="C11" s="15">
        <v>35</v>
      </c>
      <c r="D11" s="31">
        <f t="shared" ref="D11:D13" si="252">C$22*C11/F7+(1-C$22)*(D10+E10)</f>
        <v>23.623828125000099</v>
      </c>
      <c r="E11" s="31">
        <f t="shared" ref="E11:E19" si="253">D$22*(D11-D10)+(1-D$22)*E10</f>
        <v>0.94310825892859995</v>
      </c>
      <c r="F11" s="31">
        <f t="shared" si="247"/>
        <v>1.6179704681118401</v>
      </c>
      <c r="G11">
        <f t="shared" ref="G11:G13" si="254">(D10+E10)*F7</f>
        <v>47.890625000000199</v>
      </c>
      <c r="H11">
        <f t="shared" si="248"/>
        <v>12.890625000000201</v>
      </c>
      <c r="I11">
        <f t="shared" si="249"/>
        <v>166.16821289063</v>
      </c>
      <c r="K11" s="15" t="s">
        <v>249</v>
      </c>
      <c r="L11" s="15">
        <f t="shared" ref="L11:L23" si="255">L10+1</f>
        <v>8</v>
      </c>
      <c r="M11" s="15">
        <v>35</v>
      </c>
      <c r="N11" s="31">
        <f t="shared" si="250"/>
        <v>47.890625000000199</v>
      </c>
    </row>
    <row r="12">
      <c r="A12" s="15" t="s">
        <v>250</v>
      </c>
      <c r="B12" s="15">
        <f t="shared" si="251"/>
        <v>9</v>
      </c>
      <c r="C12" s="15">
        <v>15</v>
      </c>
      <c r="D12" s="31">
        <f t="shared" si="252"/>
        <v>21.865364743688499</v>
      </c>
      <c r="E12" s="31">
        <f t="shared" si="253"/>
        <v>-0.4076775611915</v>
      </c>
      <c r="F12" s="31">
        <f t="shared" si="247"/>
        <v>0.73437125024194805</v>
      </c>
      <c r="G12">
        <f t="shared" si="254"/>
        <v>19.229180975274801</v>
      </c>
      <c r="H12">
        <f t="shared" si="248"/>
        <v>4.2291809752748</v>
      </c>
      <c r="I12">
        <f t="shared" si="249"/>
        <v>17.885971721626301</v>
      </c>
      <c r="K12" s="15" t="s">
        <v>250</v>
      </c>
      <c r="L12" s="15">
        <f t="shared" si="255"/>
        <v>9</v>
      </c>
      <c r="M12" s="15">
        <v>15</v>
      </c>
      <c r="N12" s="31">
        <f t="shared" si="250"/>
        <v>19.229180975274801</v>
      </c>
    </row>
    <row r="13">
      <c r="A13" s="15" t="s">
        <v>251</v>
      </c>
      <c r="B13" s="15">
        <f t="shared" si="251"/>
        <v>10</v>
      </c>
      <c r="C13" s="15">
        <v>27</v>
      </c>
      <c r="D13" s="31">
        <f t="shared" si="252"/>
        <v>24.199233427368299</v>
      </c>
      <c r="E13" s="31">
        <f t="shared" si="253"/>
        <v>0.96309556124415008</v>
      </c>
      <c r="F13" s="31">
        <f t="shared" si="247"/>
        <v>1.0589679944406001</v>
      </c>
      <c r="G13">
        <f t="shared" si="254"/>
        <v>21.504854758320199</v>
      </c>
      <c r="H13">
        <f t="shared" si="248"/>
        <v>5.4951452416797997</v>
      </c>
      <c r="I13">
        <f t="shared" si="249"/>
        <v>30.196621227156101</v>
      </c>
      <c r="K13" s="15" t="s">
        <v>251</v>
      </c>
      <c r="L13" s="15">
        <f t="shared" si="255"/>
        <v>10</v>
      </c>
      <c r="M13" s="15">
        <v>27</v>
      </c>
      <c r="N13" s="31">
        <f t="shared" si="250"/>
        <v>21.504854758320199</v>
      </c>
    </row>
    <row r="14">
      <c r="A14" s="15" t="s">
        <v>252</v>
      </c>
      <c r="B14" s="15">
        <f t="shared" si="251"/>
        <v>11</v>
      </c>
      <c r="C14" s="15">
        <v>18</v>
      </c>
      <c r="D14" s="31">
        <f t="shared" ref="D14:D19" si="256">C$22*C14/F10+(1-C$22)*(D13+E13)</f>
        <v>28.476311780130899</v>
      </c>
      <c r="E14" s="31">
        <f t="shared" si="253"/>
        <v>2.6200869570033798</v>
      </c>
      <c r="F14" s="31">
        <f t="shared" ref="F14:F19" si="257">E$22*(C14/D14)+(1-E$22)*F10</f>
        <v>0.59915743763698903</v>
      </c>
      <c r="G14">
        <f t="shared" ref="G14:G19" si="258">(D13+E13)*F10</f>
        <v>14.247175998140801</v>
      </c>
      <c r="H14">
        <f t="shared" si="248"/>
        <v>3.7528240018591998</v>
      </c>
      <c r="I14">
        <f t="shared" si="249"/>
        <v>14.0836879889305</v>
      </c>
      <c r="K14" s="15" t="s">
        <v>252</v>
      </c>
      <c r="L14" s="15">
        <f t="shared" si="255"/>
        <v>11</v>
      </c>
      <c r="M14" s="15">
        <v>18</v>
      </c>
      <c r="N14" s="31">
        <f t="shared" si="250"/>
        <v>14.247175998140801</v>
      </c>
    </row>
    <row r="15">
      <c r="A15" s="15" t="s">
        <v>253</v>
      </c>
      <c r="B15" s="15">
        <f t="shared" si="251"/>
        <v>12</v>
      </c>
      <c r="C15" s="15">
        <v>40</v>
      </c>
      <c r="D15" s="31">
        <f t="shared" si="256"/>
        <v>27.909364417110901</v>
      </c>
      <c r="E15" s="31">
        <f t="shared" si="253"/>
        <v>1.02656979699169</v>
      </c>
      <c r="F15" s="31">
        <f t="shared" si="257"/>
        <v>1.5255905892010999</v>
      </c>
      <c r="G15">
        <f t="shared" si="258"/>
        <v>50.3130548213136</v>
      </c>
      <c r="H15">
        <f t="shared" si="248"/>
        <v>10.3130548213136</v>
      </c>
      <c r="I15">
        <f t="shared" si="249"/>
        <v>106.35909974742</v>
      </c>
      <c r="K15" s="15" t="s">
        <v>253</v>
      </c>
      <c r="L15" s="15">
        <f t="shared" si="255"/>
        <v>12</v>
      </c>
      <c r="M15" s="15">
        <v>40</v>
      </c>
      <c r="N15" s="31">
        <f t="shared" si="250"/>
        <v>50.3130548213136</v>
      </c>
    </row>
    <row r="16">
      <c r="A16" s="15" t="s">
        <v>254</v>
      </c>
      <c r="B16" s="15">
        <f t="shared" si="251"/>
        <v>13</v>
      </c>
      <c r="C16" s="15">
        <v>28</v>
      </c>
      <c r="D16" s="31">
        <f t="shared" si="256"/>
        <v>33.531894235717502</v>
      </c>
      <c r="E16" s="31">
        <f t="shared" si="253"/>
        <v>3.32454980779915</v>
      </c>
      <c r="F16" s="31">
        <f t="shared" si="257"/>
        <v>0.78469857269217003</v>
      </c>
      <c r="G16">
        <f t="shared" si="258"/>
        <v>21.2497181857293</v>
      </c>
      <c r="H16">
        <f t="shared" si="248"/>
        <v>6.7502818142707</v>
      </c>
      <c r="I16">
        <f t="shared" si="249"/>
        <v>45.566304572073697</v>
      </c>
      <c r="K16" s="15" t="s">
        <v>254</v>
      </c>
      <c r="L16" s="15">
        <f t="shared" si="255"/>
        <v>13</v>
      </c>
      <c r="M16" s="15">
        <v>28</v>
      </c>
      <c r="N16" s="31">
        <f t="shared" si="250"/>
        <v>21.2497181857293</v>
      </c>
    </row>
    <row r="17">
      <c r="A17" s="15" t="s">
        <v>255</v>
      </c>
      <c r="B17" s="15">
        <f t="shared" si="251"/>
        <v>14</v>
      </c>
      <c r="C17" s="15">
        <v>40</v>
      </c>
      <c r="D17" s="31">
        <f t="shared" si="256"/>
        <v>37.314534077454702</v>
      </c>
      <c r="E17" s="31">
        <f t="shared" si="253"/>
        <v>3.5535948247681799</v>
      </c>
      <c r="F17" s="31">
        <f t="shared" si="257"/>
        <v>1.06546817857134</v>
      </c>
      <c r="G17">
        <f t="shared" si="258"/>
        <v>39.029794630975097</v>
      </c>
      <c r="H17">
        <f t="shared" si="248"/>
        <v>0.97020536902490284</v>
      </c>
      <c r="I17">
        <f t="shared" si="249"/>
        <v>0.94129845808474799</v>
      </c>
      <c r="K17" s="15" t="s">
        <v>255</v>
      </c>
      <c r="L17" s="15">
        <f t="shared" si="255"/>
        <v>14</v>
      </c>
      <c r="M17" s="15">
        <v>40</v>
      </c>
      <c r="N17" s="31">
        <f t="shared" si="250"/>
        <v>39.029794630975097</v>
      </c>
    </row>
    <row r="18">
      <c r="A18" s="15" t="s">
        <v>256</v>
      </c>
      <c r="B18" s="15">
        <f t="shared" si="251"/>
        <v>15</v>
      </c>
      <c r="C18" s="15">
        <v>25</v>
      </c>
      <c r="D18" s="31">
        <f t="shared" si="256"/>
        <v>41.296694562653798</v>
      </c>
      <c r="E18" s="31">
        <f t="shared" si="253"/>
        <v>3.7678776549836401</v>
      </c>
      <c r="F18" s="31">
        <f t="shared" si="257"/>
        <v>0.60226638262256704</v>
      </c>
      <c r="G18">
        <f t="shared" si="258"/>
        <v>24.486443394074101</v>
      </c>
      <c r="H18">
        <f t="shared" si="248"/>
        <v>0.51355660592589902</v>
      </c>
      <c r="I18">
        <f t="shared" si="249"/>
        <v>0.26374038749012901</v>
      </c>
      <c r="K18" s="15" t="s">
        <v>256</v>
      </c>
      <c r="L18" s="15">
        <f t="shared" si="255"/>
        <v>15</v>
      </c>
      <c r="M18" s="15">
        <v>25</v>
      </c>
      <c r="N18" s="31">
        <f t="shared" si="250"/>
        <v>24.486443394074101</v>
      </c>
    </row>
    <row r="19">
      <c r="A19" s="17" t="s">
        <v>257</v>
      </c>
      <c r="B19" s="17">
        <f t="shared" si="251"/>
        <v>16</v>
      </c>
      <c r="C19" s="17">
        <v>65</v>
      </c>
      <c r="D19" s="32">
        <f t="shared" si="256"/>
        <v>43.8355113843621</v>
      </c>
      <c r="E19" s="32">
        <f t="shared" si="253"/>
        <v>3.1533472383459702</v>
      </c>
      <c r="F19" s="32">
        <f t="shared" si="257"/>
        <v>1.50420332141769</v>
      </c>
      <c r="G19" s="14">
        <f t="shared" si="258"/>
        <v>68.750087281600997</v>
      </c>
      <c r="H19" s="14">
        <f t="shared" si="248"/>
        <v>3.750087281601</v>
      </c>
      <c r="I19" s="14">
        <f t="shared" si="249"/>
        <v>14.0631546196256</v>
      </c>
      <c r="K19" s="15" t="s">
        <v>257</v>
      </c>
      <c r="L19" s="15">
        <f t="shared" si="255"/>
        <v>16</v>
      </c>
      <c r="M19" s="15">
        <v>65</v>
      </c>
      <c r="N19" s="31">
        <f>(D18+E18)*F15</f>
        <v>68.750087281600997</v>
      </c>
    </row>
    <row r="20">
      <c r="K20" s="15" t="s">
        <v>260</v>
      </c>
      <c r="L20" s="15">
        <f t="shared" si="255"/>
        <v>17</v>
      </c>
      <c r="N20" s="31">
        <f t="shared" ref="N20:N23" si="259">(D$19+(L20-L$19)*E$19)*F16</f>
        <v>36.872090293673203</v>
      </c>
    </row>
    <row r="21">
      <c r="C21" s="15" t="s">
        <v>203</v>
      </c>
      <c r="D21" s="15" t="s">
        <v>233</v>
      </c>
      <c r="E21" s="15" t="s">
        <v>182</v>
      </c>
      <c r="H21" s="15" t="s">
        <v>211</v>
      </c>
      <c r="I21" s="15" t="s">
        <v>212</v>
      </c>
      <c r="K21" s="15" t="s">
        <v>261</v>
      </c>
      <c r="L21" s="15">
        <f t="shared" si="255"/>
        <v>18</v>
      </c>
      <c r="N21" s="31">
        <f t="shared" si="259"/>
        <v>53.424924748326397</v>
      </c>
    </row>
    <row r="22">
      <c r="C22" s="22">
        <v>0.5</v>
      </c>
      <c r="D22" s="26">
        <v>0.5</v>
      </c>
      <c r="E22" s="23">
        <v>0.5</v>
      </c>
      <c r="H22" s="22">
        <f>AVERAGE(H4:H19)</f>
        <v>4.73636580686488</v>
      </c>
      <c r="I22" s="23">
        <f>AVERAGE(I4:I19)</f>
        <v>36.220028042583003</v>
      </c>
      <c r="K22" s="15" t="s">
        <v>262</v>
      </c>
      <c r="L22" s="15">
        <f t="shared" si="255"/>
        <v>19</v>
      </c>
      <c r="N22" s="31">
        <f t="shared" si="259"/>
        <v>32.098119975044597</v>
      </c>
    </row>
    <row r="23">
      <c r="K23" s="17" t="s">
        <v>263</v>
      </c>
      <c r="L23" s="17">
        <f t="shared" si="255"/>
        <v>20</v>
      </c>
      <c r="M23" s="17"/>
      <c r="N23" s="32">
        <f t="shared" si="259"/>
        <v>84.910623378413703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7.5446429999999998"/>
    <col customWidth="1" min="2" max="2" width="6.1785709999999998"/>
  </cols>
  <sheetData>
    <row r="1">
      <c r="A1" s="1" t="s">
        <v>258</v>
      </c>
    </row>
    <row r="3">
      <c r="A3" s="4" t="s">
        <v>240</v>
      </c>
      <c r="B3" s="4" t="s">
        <v>206</v>
      </c>
      <c r="C3" s="4" t="s">
        <v>207</v>
      </c>
      <c r="D3" s="4" t="s">
        <v>231</v>
      </c>
      <c r="E3" s="4" t="s">
        <v>232</v>
      </c>
      <c r="F3" s="4" t="s">
        <v>241</v>
      </c>
      <c r="G3" s="4" t="s">
        <v>208</v>
      </c>
      <c r="H3" s="4" t="s">
        <v>209</v>
      </c>
      <c r="I3" s="4" t="s">
        <v>210</v>
      </c>
    </row>
    <row r="4">
      <c r="A4" s="15" t="s">
        <v>264</v>
      </c>
      <c r="B4" s="15">
        <v>1</v>
      </c>
      <c r="C4" s="15">
        <v>10</v>
      </c>
      <c r="D4" s="31"/>
      <c r="E4" s="31"/>
      <c r="F4" s="31">
        <f t="shared" ref="F4:F7" si="260">C4/AVERAGE(C$4:C$7)</f>
        <v>0.70175438596491202</v>
      </c>
    </row>
    <row r="5">
      <c r="A5" s="15" t="s">
        <v>265</v>
      </c>
      <c r="B5" s="15">
        <f t="shared" ref="B5:B10" si="261">B4+1</f>
        <v>2</v>
      </c>
      <c r="C5" s="15">
        <v>14</v>
      </c>
      <c r="D5" s="31"/>
      <c r="E5" s="31"/>
      <c r="F5" s="31">
        <f t="shared" si="260"/>
        <v>0.98245614035087703</v>
      </c>
      <c r="G5" s="31"/>
      <c r="H5" s="31"/>
      <c r="I5" s="31"/>
    </row>
    <row r="6">
      <c r="A6" s="15" t="s">
        <v>266</v>
      </c>
      <c r="B6" s="15">
        <f t="shared" si="261"/>
        <v>3</v>
      </c>
      <c r="C6" s="15">
        <v>8</v>
      </c>
      <c r="D6" s="31"/>
      <c r="E6" s="31"/>
      <c r="F6" s="31">
        <f t="shared" si="260"/>
        <v>0.56140350877193002</v>
      </c>
      <c r="G6" s="31"/>
      <c r="H6" s="31"/>
      <c r="I6" s="31"/>
    </row>
    <row r="7">
      <c r="A7" s="15" t="s">
        <v>267</v>
      </c>
      <c r="B7" s="15">
        <f t="shared" si="261"/>
        <v>4</v>
      </c>
      <c r="C7" s="15">
        <v>25</v>
      </c>
      <c r="D7" s="31">
        <f>C7/F7</f>
        <v>14.25</v>
      </c>
      <c r="E7" s="31">
        <v>0</v>
      </c>
      <c r="F7" s="31">
        <f t="shared" si="260"/>
        <v>1.7543859649122799</v>
      </c>
      <c r="G7" s="31"/>
      <c r="H7" s="31"/>
      <c r="I7" s="31"/>
    </row>
    <row r="8">
      <c r="A8" s="15" t="s">
        <v>264</v>
      </c>
      <c r="B8" s="15">
        <f t="shared" si="261"/>
        <v>5</v>
      </c>
      <c r="C8" s="15">
        <v>16</v>
      </c>
      <c r="D8" s="31">
        <f t="shared" ref="D8:D9" si="262">C$22*C8/F4+(1-C$22)*(D7+E7)</f>
        <v>15.824264435918799</v>
      </c>
      <c r="E8" s="31">
        <f t="shared" ref="E8:E9" si="263">D$22*(D8-D7)+(1-D$22)*E7</f>
        <v>0.6922921028265</v>
      </c>
      <c r="F8" s="31">
        <f t="shared" ref="F8:F9" si="264">E$22*(C8/D8)+(1-E$22)*F4</f>
        <v>0.83105522227948803</v>
      </c>
      <c r="G8">
        <f t="shared" ref="G8:G10" si="265">(D7+E7)*F4</f>
        <v>10</v>
      </c>
      <c r="H8">
        <f t="shared" ref="H8:H9" si="266">ABS(C8-G8)</f>
        <v>6</v>
      </c>
      <c r="I8">
        <f t="shared" ref="I8:I9" si="267">(C8-G8)^2</f>
        <v>36</v>
      </c>
    </row>
    <row r="9">
      <c r="A9" s="15" t="s">
        <v>265</v>
      </c>
      <c r="B9" s="15">
        <f t="shared" si="261"/>
        <v>6</v>
      </c>
      <c r="C9" s="15">
        <v>22</v>
      </c>
      <c r="D9" s="31">
        <f t="shared" si="262"/>
        <v>17.5985274224672</v>
      </c>
      <c r="E9" s="31">
        <f t="shared" si="263"/>
        <v>1.1680952024828299</v>
      </c>
      <c r="F9" s="31">
        <f t="shared" si="264"/>
        <v>1.0943263524545701</v>
      </c>
      <c r="G9">
        <f t="shared" si="265"/>
        <v>16.226792388942801</v>
      </c>
      <c r="H9">
        <f t="shared" si="266"/>
        <v>5.7732076110571997</v>
      </c>
      <c r="I9">
        <f t="shared" si="267"/>
        <v>33.329926120368803</v>
      </c>
    </row>
    <row r="10">
      <c r="A10" s="15" t="s">
        <v>266</v>
      </c>
      <c r="B10" s="15">
        <f t="shared" si="261"/>
        <v>7</v>
      </c>
      <c r="C10" s="15">
        <v>14</v>
      </c>
      <c r="D10" s="31">
        <f>C$22*C10/F6+(1-C$22)*(D9+E9)</f>
        <v>19.902832307985999</v>
      </c>
      <c r="E10" s="31">
        <f>D$22*(D10-D9)+(1-D$22)*E9</f>
        <v>1.66775013514459</v>
      </c>
      <c r="F10" s="31">
        <f t="shared" ref="F10:F13" si="268">E$22*(C10/D10)+(1-E$22)*F6</f>
        <v>0.62076171528409496</v>
      </c>
      <c r="G10">
        <f t="shared" si="265"/>
        <v>10.5356477894456</v>
      </c>
      <c r="H10">
        <f t="shared" ref="H10:H19" si="269">ABS(C10-G10)</f>
        <v>3.4643522105544</v>
      </c>
      <c r="I10">
        <f t="shared" ref="I10:I19" si="270">(C10-G10)^2</f>
        <v>12.0017362387732</v>
      </c>
    </row>
    <row r="11">
      <c r="A11" s="15" t="s">
        <v>267</v>
      </c>
      <c r="B11" s="15">
        <f t="shared" ref="B11:B19" si="271">B10+1</f>
        <v>8</v>
      </c>
      <c r="C11" s="15">
        <v>35</v>
      </c>
      <c r="D11" s="31">
        <f t="shared" ref="D11:D13" si="272">C$22*C11/F7+(1-C$22)*(D10+E10)</f>
        <v>21.272193518487899</v>
      </c>
      <c r="E11" s="31">
        <f t="shared" ref="E11:E19" si="273">D$22*(D11-D10)+(1-D$22)*E10</f>
        <v>1.5365318395470899</v>
      </c>
      <c r="F11" s="31">
        <f t="shared" si="268"/>
        <v>1.70880771830103</v>
      </c>
      <c r="G11">
        <f t="shared" ref="G11:G13" si="274">(D10+E10)*F7</f>
        <v>37.843127093211599</v>
      </c>
      <c r="H11">
        <f t="shared" si="269"/>
        <v>2.8431270932116002</v>
      </c>
      <c r="I11">
        <f t="shared" si="270"/>
        <v>8.0833716681538395</v>
      </c>
    </row>
    <row r="12">
      <c r="A12" s="15" t="s">
        <v>264</v>
      </c>
      <c r="B12" s="15">
        <f t="shared" si="271"/>
        <v>9</v>
      </c>
      <c r="C12" s="15">
        <v>15</v>
      </c>
      <c r="D12" s="31">
        <f t="shared" si="272"/>
        <v>21.9324063146775</v>
      </c>
      <c r="E12" s="31">
        <f t="shared" si="273"/>
        <v>1.1511653538214699</v>
      </c>
      <c r="F12" s="31">
        <f t="shared" si="268"/>
        <v>0.76955624480099105</v>
      </c>
      <c r="G12">
        <f t="shared" si="274"/>
        <v>18.955310322333599</v>
      </c>
      <c r="H12">
        <f t="shared" si="269"/>
        <v>3.9553103223336001</v>
      </c>
      <c r="I12">
        <f t="shared" si="270"/>
        <v>15.6444797459587</v>
      </c>
    </row>
    <row r="13">
      <c r="A13" s="15" t="s">
        <v>265</v>
      </c>
      <c r="B13" s="15">
        <f t="shared" si="271"/>
        <v>10</v>
      </c>
      <c r="C13" s="15">
        <v>27</v>
      </c>
      <c r="D13" s="31">
        <f t="shared" si="272"/>
        <v>23.376171510550101</v>
      </c>
      <c r="E13" s="31">
        <f t="shared" si="273"/>
        <v>1.2798378660872101</v>
      </c>
      <c r="F13" s="31">
        <f t="shared" si="268"/>
        <v>1.1196957179539</v>
      </c>
      <c r="G13">
        <f t="shared" si="274"/>
        <v>25.260960785612198</v>
      </c>
      <c r="H13">
        <f t="shared" si="269"/>
        <v>1.7390392143878</v>
      </c>
      <c r="I13">
        <f t="shared" si="270"/>
        <v>3.02425738917854</v>
      </c>
    </row>
    <row r="14">
      <c r="A14" s="15" t="s">
        <v>266</v>
      </c>
      <c r="B14" s="15">
        <f t="shared" si="271"/>
        <v>11</v>
      </c>
      <c r="C14" s="15">
        <v>18</v>
      </c>
      <c r="D14" s="31">
        <f t="shared" ref="D14:D19" si="275">C$22*C14/F10+(1-C$22)*(D13+E13)</f>
        <v>25.455224618348499</v>
      </c>
      <c r="E14" s="31">
        <f t="shared" si="273"/>
        <v>1.63129749870751</v>
      </c>
      <c r="F14" s="31">
        <f t="shared" ref="F14:F19" si="276">E$22*(C14/D14)+(1-E$22)*F10</f>
        <v>0.65685893841777998</v>
      </c>
      <c r="G14">
        <f t="shared" ref="G14:G19" si="277">(D13+E13)*F10</f>
        <v>15.3055066727021</v>
      </c>
      <c r="H14">
        <f t="shared" si="269"/>
        <v>2.6944933272978999</v>
      </c>
      <c r="I14">
        <f t="shared" si="270"/>
        <v>7.2602942908529098</v>
      </c>
    </row>
    <row r="15">
      <c r="A15" s="15" t="s">
        <v>267</v>
      </c>
      <c r="B15" s="15">
        <f t="shared" si="271"/>
        <v>12</v>
      </c>
      <c r="C15" s="15">
        <v>40</v>
      </c>
      <c r="D15" s="31">
        <f t="shared" si="275"/>
        <v>26.409240755598901</v>
      </c>
      <c r="E15" s="31">
        <f t="shared" si="273"/>
        <v>1.33345901158277</v>
      </c>
      <c r="F15" s="31">
        <f t="shared" si="276"/>
        <v>1.6276427822445301</v>
      </c>
      <c r="G15">
        <f t="shared" si="277"/>
        <v>46.285658055556901</v>
      </c>
      <c r="H15">
        <f t="shared" si="269"/>
        <v>6.2856580555569002</v>
      </c>
      <c r="I15">
        <f t="shared" si="270"/>
        <v>39.509497191387403</v>
      </c>
    </row>
    <row r="16">
      <c r="A16" s="15" t="s">
        <v>264</v>
      </c>
      <c r="B16" s="15">
        <f t="shared" si="271"/>
        <v>13</v>
      </c>
      <c r="C16" s="15">
        <v>28</v>
      </c>
      <c r="D16" s="31">
        <f t="shared" si="275"/>
        <v>29.333886209546801</v>
      </c>
      <c r="E16" s="31">
        <f t="shared" si="273"/>
        <v>2.0331926668952902</v>
      </c>
      <c r="F16" s="31">
        <f t="shared" si="276"/>
        <v>0.84686948572977805</v>
      </c>
      <c r="G16">
        <f t="shared" si="277"/>
        <v>21.349567853473701</v>
      </c>
      <c r="H16">
        <f t="shared" si="269"/>
        <v>6.6504321465262999</v>
      </c>
      <c r="I16">
        <f t="shared" si="270"/>
        <v>44.228247735550397</v>
      </c>
    </row>
    <row r="17">
      <c r="A17" s="15" t="s">
        <v>265</v>
      </c>
      <c r="B17" s="15">
        <f t="shared" si="271"/>
        <v>14</v>
      </c>
      <c r="C17" s="15">
        <v>40</v>
      </c>
      <c r="D17" s="31">
        <f t="shared" si="275"/>
        <v>32.169293163779699</v>
      </c>
      <c r="E17" s="31">
        <f t="shared" si="273"/>
        <v>2.3859711475793701</v>
      </c>
      <c r="F17" s="31">
        <f t="shared" si="276"/>
        <v>1.17141005204381</v>
      </c>
      <c r="G17">
        <f t="shared" si="277"/>
        <v>35.121583902674502</v>
      </c>
      <c r="H17">
        <f t="shared" si="269"/>
        <v>4.8784160973255002</v>
      </c>
      <c r="I17">
        <f t="shared" si="270"/>
        <v>23.7989436186446</v>
      </c>
    </row>
    <row r="18">
      <c r="A18" s="15" t="s">
        <v>266</v>
      </c>
      <c r="B18" s="15">
        <f t="shared" si="271"/>
        <v>15</v>
      </c>
      <c r="C18" s="15">
        <v>25</v>
      </c>
      <c r="D18" s="31">
        <f t="shared" si="275"/>
        <v>35.200557650812598</v>
      </c>
      <c r="E18" s="31">
        <f t="shared" si="273"/>
        <v>2.6697427127100402</v>
      </c>
      <c r="F18" s="31">
        <f t="shared" si="276"/>
        <v>0.67916083504104297</v>
      </c>
      <c r="G18">
        <f t="shared" si="277"/>
        <v>22.697934232305101</v>
      </c>
      <c r="H18">
        <f t="shared" si="269"/>
        <v>2.3020657676948999</v>
      </c>
      <c r="I18">
        <f t="shared" si="270"/>
        <v>5.2995067987927102</v>
      </c>
    </row>
    <row r="19">
      <c r="A19" s="17" t="s">
        <v>267</v>
      </c>
      <c r="B19" s="17">
        <f t="shared" si="271"/>
        <v>16</v>
      </c>
      <c r="C19" s="17">
        <v>65</v>
      </c>
      <c r="D19" s="32">
        <f t="shared" si="275"/>
        <v>38.250471813342202</v>
      </c>
      <c r="E19" s="32">
        <f t="shared" si="273"/>
        <v>2.8369253577760101</v>
      </c>
      <c r="F19" s="32">
        <f t="shared" si="276"/>
        <v>1.6576043024262901</v>
      </c>
      <c r="G19" s="14">
        <f t="shared" si="277"/>
        <v>61.639321048120003</v>
      </c>
      <c r="H19" s="14">
        <f t="shared" si="269"/>
        <v>3.3606789518800002</v>
      </c>
      <c r="I19" s="14">
        <f t="shared" si="270"/>
        <v>11.2941630176093</v>
      </c>
    </row>
    <row r="21">
      <c r="C21" s="15" t="s">
        <v>203</v>
      </c>
      <c r="D21" s="15" t="s">
        <v>233</v>
      </c>
      <c r="E21" s="15" t="s">
        <v>182</v>
      </c>
      <c r="F21" s="15" t="s">
        <v>268</v>
      </c>
      <c r="H21" s="15" t="s">
        <v>211</v>
      </c>
      <c r="I21" s="15" t="s">
        <v>212</v>
      </c>
    </row>
    <row r="22">
      <c r="C22" s="22">
        <v>0.18412449542910733</v>
      </c>
      <c r="D22" s="26">
        <v>0.43975591840290279</v>
      </c>
      <c r="E22" s="23">
        <v>0.41797443649270016</v>
      </c>
      <c r="F22" s="18">
        <f>C22+E22</f>
        <v>0.60209893192180697</v>
      </c>
      <c r="H22" s="22">
        <f>AVERAGE(H4:H19)</f>
        <v>4.1622317331521801</v>
      </c>
      <c r="I22" s="23">
        <f>AVERAGE(I4:I19)</f>
        <v>19.956201984605901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E1" zoomScale="95" workbookViewId="0">
      <selection activeCell="Z32" activeCellId="0" sqref="Z32"/>
    </sheetView>
  </sheetViews>
  <sheetFormatPr defaultRowHeight="14.25"/>
  <cols>
    <col customWidth="1" min="2" max="2" width="7.5446429999999998"/>
  </cols>
  <sheetData>
    <row r="1">
      <c r="A1" s="1" t="s">
        <v>269</v>
      </c>
      <c r="E1" t="s">
        <v>270</v>
      </c>
    </row>
    <row r="3">
      <c r="A3" s="4" t="s">
        <v>206</v>
      </c>
      <c r="B3" s="4" t="s">
        <v>240</v>
      </c>
      <c r="C3" s="4" t="s">
        <v>207</v>
      </c>
      <c r="E3" s="24" t="str">
        <f t="shared" ref="E3:E9" si="278">B3</f>
        <v>qtr</v>
      </c>
      <c r="F3" s="24" t="str">
        <f t="shared" ref="F3:F9" si="279">C3</f>
        <v>y</v>
      </c>
      <c r="G3" s="24" t="s">
        <v>231</v>
      </c>
      <c r="H3" s="24" t="s">
        <v>232</v>
      </c>
      <c r="I3" s="24" t="s">
        <v>241</v>
      </c>
      <c r="J3" s="24" t="s">
        <v>193</v>
      </c>
    </row>
    <row r="4">
      <c r="A4" s="15">
        <v>1</v>
      </c>
      <c r="B4" s="15" t="s">
        <v>242</v>
      </c>
      <c r="C4" s="15">
        <v>10</v>
      </c>
      <c r="E4" s="15" t="str">
        <f t="shared" si="278"/>
        <v xml:space="preserve">10 Q1</v>
      </c>
      <c r="F4" s="15">
        <f t="shared" si="279"/>
        <v>10</v>
      </c>
      <c r="I4">
        <f t="shared" ref="I4:I7" si="280">F4/AVERAGE($F$4:$F$7)</f>
        <v>0.70175438596491202</v>
      </c>
    </row>
    <row r="5">
      <c r="A5" s="15">
        <f t="shared" ref="A5:A10" si="281">A4+1</f>
        <v>2</v>
      </c>
      <c r="B5" s="15" t="s">
        <v>243</v>
      </c>
      <c r="C5" s="15">
        <v>14</v>
      </c>
      <c r="E5" s="15" t="str">
        <f t="shared" si="278"/>
        <v xml:space="preserve">10 Q2</v>
      </c>
      <c r="F5" s="15">
        <f t="shared" si="279"/>
        <v>14</v>
      </c>
      <c r="I5">
        <f t="shared" si="280"/>
        <v>0.98245614035087703</v>
      </c>
    </row>
    <row r="6">
      <c r="A6" s="15">
        <f t="shared" si="281"/>
        <v>3</v>
      </c>
      <c r="B6" s="15" t="s">
        <v>244</v>
      </c>
      <c r="C6" s="15">
        <v>8</v>
      </c>
      <c r="E6" s="15" t="str">
        <f t="shared" si="278"/>
        <v xml:space="preserve">10 Q3</v>
      </c>
      <c r="F6" s="15">
        <f t="shared" si="279"/>
        <v>8</v>
      </c>
      <c r="I6">
        <f t="shared" si="280"/>
        <v>0.56140350877193002</v>
      </c>
    </row>
    <row r="7">
      <c r="A7" s="15">
        <f t="shared" si="281"/>
        <v>4</v>
      </c>
      <c r="B7" s="15" t="s">
        <v>245</v>
      </c>
      <c r="C7" s="15">
        <v>25</v>
      </c>
      <c r="E7" s="15" t="str">
        <f t="shared" si="278"/>
        <v xml:space="preserve">10 Q4</v>
      </c>
      <c r="F7" s="15">
        <f t="shared" si="279"/>
        <v>25</v>
      </c>
      <c r="G7">
        <f>F7/I7</f>
        <v>14.25</v>
      </c>
      <c r="H7">
        <f>(AVERAGE(F8:F11)-AVERAGE(F4:F7))/4</f>
        <v>1.875</v>
      </c>
      <c r="I7">
        <f t="shared" si="280"/>
        <v>1.7543859649122799</v>
      </c>
    </row>
    <row r="8">
      <c r="A8" s="15">
        <f t="shared" si="281"/>
        <v>5</v>
      </c>
      <c r="B8" s="15" t="s">
        <v>246</v>
      </c>
      <c r="C8" s="15">
        <v>16</v>
      </c>
      <c r="E8" s="15" t="str">
        <f t="shared" si="278"/>
        <v xml:space="preserve">11 Q1</v>
      </c>
      <c r="F8" s="15">
        <f t="shared" si="279"/>
        <v>16</v>
      </c>
      <c r="G8">
        <f t="shared" ref="G8:G9" si="282">$F$28*F8/I4+(1-$F$28)*(G7+H7)</f>
        <v>19.462499999999999</v>
      </c>
      <c r="H8">
        <f t="shared" ref="H8:H9" si="283">$G$28*(G8-G7)+(1-$G$28)*H7</f>
        <v>3.5437500000000002</v>
      </c>
      <c r="I8">
        <f t="shared" ref="I8:I9" si="284">$H$28*(F8/G8)+(1-$H$28)*I4</f>
        <v>0.76192407801778095</v>
      </c>
      <c r="J8">
        <f t="shared" ref="J8:J10" si="285">(G7+H7)*I4</f>
        <v>11.3157894736842</v>
      </c>
    </row>
    <row r="9">
      <c r="A9" s="15">
        <f t="shared" si="281"/>
        <v>6</v>
      </c>
      <c r="B9" s="15" t="s">
        <v>247</v>
      </c>
      <c r="C9" s="15">
        <v>22</v>
      </c>
      <c r="E9" s="15" t="str">
        <f t="shared" si="278"/>
        <v xml:space="preserve">11 Q2</v>
      </c>
      <c r="F9" s="15">
        <f t="shared" si="279"/>
        <v>22</v>
      </c>
      <c r="G9">
        <f t="shared" si="282"/>
        <v>22.699553571428599</v>
      </c>
      <c r="H9">
        <f t="shared" si="283"/>
        <v>3.3904017857143001</v>
      </c>
      <c r="I9">
        <f t="shared" si="284"/>
        <v>0.97581909816135703</v>
      </c>
      <c r="J9">
        <f t="shared" si="285"/>
        <v>22.602631578947399</v>
      </c>
    </row>
    <row r="10">
      <c r="A10" s="15">
        <f t="shared" si="281"/>
        <v>7</v>
      </c>
      <c r="B10" s="15" t="s">
        <v>248</v>
      </c>
      <c r="C10" s="15">
        <v>14</v>
      </c>
      <c r="E10" s="15" t="str">
        <f t="shared" ref="E10:E19" si="286">B10</f>
        <v xml:space="preserve">11 Q3</v>
      </c>
      <c r="F10" s="15">
        <f t="shared" ref="F10:F19" si="287">C10</f>
        <v>14</v>
      </c>
      <c r="G10">
        <f>$F$28*F10/I6+(1-$F$28)*(G9+H9)</f>
        <v>25.513727678571499</v>
      </c>
      <c r="H10">
        <f>$G$28*(G10-G9)+(1-$G$28)*H9</f>
        <v>3.1022879464286</v>
      </c>
      <c r="I10">
        <f t="shared" ref="I10:I13" si="288">$H$28*(F10/G10)+(1-$H$28)*I6</f>
        <v>0.55506385812038594</v>
      </c>
      <c r="J10">
        <f t="shared" si="285"/>
        <v>14.646992481203</v>
      </c>
    </row>
    <row r="11">
      <c r="A11" s="15">
        <f t="shared" ref="A11:A19" si="289">A10+1</f>
        <v>8</v>
      </c>
      <c r="B11" s="15" t="s">
        <v>249</v>
      </c>
      <c r="C11" s="15">
        <v>35</v>
      </c>
      <c r="E11" s="15" t="str">
        <f t="shared" si="286"/>
        <v xml:space="preserve">11 Q4</v>
      </c>
      <c r="F11" s="15">
        <f t="shared" si="287"/>
        <v>35</v>
      </c>
      <c r="G11">
        <f t="shared" ref="G11:G13" si="290">$F$28*F11/I7+(1-$F$28)*(G10+H10)</f>
        <v>24.283007812500099</v>
      </c>
      <c r="H11">
        <f t="shared" ref="H11:H19" si="291">$G$28*(G11-G10)+(1-$G$28)*H10</f>
        <v>0.93578404017859995</v>
      </c>
      <c r="I11">
        <f t="shared" si="288"/>
        <v>1.5978615312259401</v>
      </c>
      <c r="J11">
        <f t="shared" ref="J11:J13" si="292">(G10+H10)*I7</f>
        <v>50.203536184210698</v>
      </c>
    </row>
    <row r="12">
      <c r="A12" s="15">
        <f t="shared" si="289"/>
        <v>9</v>
      </c>
      <c r="B12" s="15" t="s">
        <v>250</v>
      </c>
      <c r="C12" s="15">
        <v>15</v>
      </c>
      <c r="E12" s="15" t="str">
        <f t="shared" si="286"/>
        <v xml:space="preserve">12 Q1</v>
      </c>
      <c r="F12" s="15">
        <f t="shared" si="287"/>
        <v>15</v>
      </c>
      <c r="G12">
        <f t="shared" si="290"/>
        <v>22.452896369995099</v>
      </c>
      <c r="H12">
        <f t="shared" si="291"/>
        <v>-0.44716370116319998</v>
      </c>
      <c r="I12">
        <f t="shared" si="288"/>
        <v>0.71499466786930899</v>
      </c>
      <c r="J12">
        <f t="shared" si="292"/>
        <v>19.214804731074501</v>
      </c>
    </row>
    <row r="13">
      <c r="A13" s="15">
        <f t="shared" si="289"/>
        <v>10</v>
      </c>
      <c r="B13" s="15" t="s">
        <v>251</v>
      </c>
      <c r="C13" s="15">
        <v>27</v>
      </c>
      <c r="E13" s="15" t="str">
        <f t="shared" si="286"/>
        <v xml:space="preserve">12 Q2</v>
      </c>
      <c r="F13" s="15">
        <f t="shared" si="287"/>
        <v>27</v>
      </c>
      <c r="G13">
        <f t="shared" si="290"/>
        <v>24.837397781317101</v>
      </c>
      <c r="H13">
        <f t="shared" si="291"/>
        <v>0.96866885507940004</v>
      </c>
      <c r="I13">
        <f t="shared" si="288"/>
        <v>1.0314447502664801</v>
      </c>
      <c r="J13">
        <f t="shared" si="292"/>
        <v>21.4736142072795</v>
      </c>
    </row>
    <row r="14">
      <c r="A14" s="15">
        <f t="shared" si="289"/>
        <v>11</v>
      </c>
      <c r="B14" s="15" t="s">
        <v>252</v>
      </c>
      <c r="C14" s="15">
        <v>18</v>
      </c>
      <c r="E14" s="15" t="str">
        <f t="shared" si="286"/>
        <v xml:space="preserve">12 Q3</v>
      </c>
      <c r="F14" s="15">
        <f t="shared" si="287"/>
        <v>18</v>
      </c>
      <c r="G14">
        <f t="shared" ref="G14:G19" si="293">$F$28*F14/I10+(1-$F$28)*(G13+H13)</f>
        <v>29.117383916482101</v>
      </c>
      <c r="H14">
        <f t="shared" si="291"/>
        <v>2.6243274951222002</v>
      </c>
      <c r="I14">
        <f t="shared" ref="I14:I19" si="294">$H$28*(F14/G14)+(1-$H$28)*I10</f>
        <v>0.58662563149633395</v>
      </c>
      <c r="J14">
        <f t="shared" ref="J14:J19" si="295">(G13+H13)*I10</f>
        <v>14.32401491011</v>
      </c>
    </row>
    <row r="15">
      <c r="A15" s="15">
        <f t="shared" si="289"/>
        <v>12</v>
      </c>
      <c r="B15" s="15" t="s">
        <v>253</v>
      </c>
      <c r="C15" s="15">
        <v>40</v>
      </c>
      <c r="E15" s="15" t="str">
        <f t="shared" si="286"/>
        <v xml:space="preserve">12 Q4</v>
      </c>
      <c r="F15" s="15">
        <f t="shared" si="287"/>
        <v>40</v>
      </c>
      <c r="G15">
        <f t="shared" si="293"/>
        <v>28.387584852322998</v>
      </c>
      <c r="H15">
        <f t="shared" si="291"/>
        <v>0.94726421548154804</v>
      </c>
      <c r="I15">
        <f t="shared" si="294"/>
        <v>1.5034641066507299</v>
      </c>
      <c r="J15">
        <f t="shared" si="295"/>
        <v>50.718859599878002</v>
      </c>
    </row>
    <row r="16">
      <c r="A16" s="15">
        <f t="shared" si="289"/>
        <v>13</v>
      </c>
      <c r="B16" s="15" t="s">
        <v>254</v>
      </c>
      <c r="C16" s="15">
        <v>28</v>
      </c>
      <c r="E16" s="15" t="str">
        <f t="shared" si="286"/>
        <v xml:space="preserve">13 Q1</v>
      </c>
      <c r="F16" s="15">
        <f t="shared" si="287"/>
        <v>28</v>
      </c>
      <c r="G16">
        <f t="shared" si="293"/>
        <v>34.247990136887999</v>
      </c>
      <c r="H16">
        <f t="shared" si="291"/>
        <v>3.40383475002327</v>
      </c>
      <c r="I16">
        <f t="shared" si="294"/>
        <v>0.76628044628789105</v>
      </c>
      <c r="J16">
        <f t="shared" si="295"/>
        <v>20.974260666231299</v>
      </c>
    </row>
    <row r="17">
      <c r="A17" s="15">
        <f t="shared" si="289"/>
        <v>14</v>
      </c>
      <c r="B17" s="15" t="s">
        <v>255</v>
      </c>
      <c r="C17" s="15">
        <v>40</v>
      </c>
      <c r="E17" s="15" t="str">
        <f t="shared" si="286"/>
        <v xml:space="preserve">13 Q2</v>
      </c>
      <c r="F17" s="15">
        <f t="shared" si="287"/>
        <v>40</v>
      </c>
      <c r="G17">
        <f t="shared" si="293"/>
        <v>38.216190007845697</v>
      </c>
      <c r="H17">
        <f t="shared" si="291"/>
        <v>3.6860173104904899</v>
      </c>
      <c r="I17">
        <f t="shared" si="294"/>
        <v>1.03906078212499</v>
      </c>
      <c r="J17">
        <f t="shared" si="295"/>
        <v>38.835777117557498</v>
      </c>
    </row>
    <row r="18">
      <c r="A18" s="15">
        <f t="shared" si="289"/>
        <v>15</v>
      </c>
      <c r="B18" s="15" t="s">
        <v>256</v>
      </c>
      <c r="C18" s="15">
        <v>25</v>
      </c>
      <c r="E18" s="15" t="str">
        <f t="shared" si="286"/>
        <v xml:space="preserve">13 Q3</v>
      </c>
      <c r="F18" s="15">
        <f t="shared" si="287"/>
        <v>25</v>
      </c>
      <c r="G18">
        <f t="shared" si="293"/>
        <v>42.259412278611897</v>
      </c>
      <c r="H18">
        <f t="shared" si="291"/>
        <v>3.8646197906283501</v>
      </c>
      <c r="I18">
        <f t="shared" si="294"/>
        <v>0.58910490858629805</v>
      </c>
      <c r="J18">
        <f t="shared" si="295"/>
        <v>24.580908829209299</v>
      </c>
    </row>
    <row r="19">
      <c r="A19" s="17">
        <f t="shared" si="289"/>
        <v>16</v>
      </c>
      <c r="B19" s="17" t="s">
        <v>257</v>
      </c>
      <c r="C19" s="17">
        <v>65</v>
      </c>
      <c r="E19" s="17" t="str">
        <f t="shared" si="286"/>
        <v xml:space="preserve">13 Q4</v>
      </c>
      <c r="F19" s="17">
        <f t="shared" si="287"/>
        <v>65</v>
      </c>
      <c r="G19" s="14">
        <f t="shared" si="293"/>
        <v>44.678760894861902</v>
      </c>
      <c r="H19" s="14">
        <f t="shared" si="291"/>
        <v>3.1419842034391898</v>
      </c>
      <c r="I19" s="14">
        <f t="shared" si="294"/>
        <v>1.47914703415886</v>
      </c>
      <c r="J19" s="14">
        <f t="shared" si="295"/>
        <v>69.34582667011</v>
      </c>
    </row>
    <row r="20">
      <c r="E20" s="15" t="s">
        <v>217</v>
      </c>
      <c r="F20" s="15"/>
      <c r="I20">
        <f t="shared" ref="I20:I25" si="296">I16</f>
        <v>0.76628044628789105</v>
      </c>
      <c r="J20">
        <f t="shared" ref="J20:J25" si="297">($G$19+$H$19*(ROW(G20)-ROW($G$19)))*I20</f>
        <v>36.644101895745699</v>
      </c>
    </row>
    <row r="21">
      <c r="E21" s="15" t="s">
        <v>217</v>
      </c>
      <c r="F21" s="15"/>
      <c r="I21">
        <f t="shared" si="296"/>
        <v>1.03906078212499</v>
      </c>
      <c r="J21">
        <f t="shared" si="297"/>
        <v>52.9533733674904</v>
      </c>
    </row>
    <row r="22">
      <c r="E22" s="15" t="s">
        <v>217</v>
      </c>
      <c r="F22" s="15"/>
      <c r="I22">
        <f t="shared" si="296"/>
        <v>0.58910490858629805</v>
      </c>
      <c r="J22">
        <f t="shared" si="297"/>
        <v>31.873352303556601</v>
      </c>
    </row>
    <row r="23">
      <c r="E23" s="15" t="s">
        <v>217</v>
      </c>
      <c r="F23" s="15"/>
      <c r="I23">
        <f t="shared" si="296"/>
        <v>1.47914703415886</v>
      </c>
      <c r="J23">
        <f t="shared" si="297"/>
        <v>84.676283131092205</v>
      </c>
    </row>
    <row r="24">
      <c r="E24" s="15" t="s">
        <v>217</v>
      </c>
      <c r="I24">
        <f t="shared" si="296"/>
        <v>0.76628044628789105</v>
      </c>
      <c r="J24">
        <f t="shared" si="297"/>
        <v>46.274666126309199</v>
      </c>
    </row>
    <row r="25">
      <c r="E25" s="15" t="s">
        <v>217</v>
      </c>
      <c r="I25">
        <f t="shared" si="296"/>
        <v>1.03906078212499</v>
      </c>
      <c r="J25">
        <f t="shared" si="297"/>
        <v>66.012223622889906</v>
      </c>
    </row>
    <row r="27">
      <c r="F27" s="25" t="s">
        <v>203</v>
      </c>
      <c r="G27" s="25" t="s">
        <v>233</v>
      </c>
      <c r="H27" s="25" t="s">
        <v>182</v>
      </c>
      <c r="I27" s="25" t="s">
        <v>211</v>
      </c>
      <c r="J27" s="25" t="s">
        <v>212</v>
      </c>
      <c r="K27" s="25" t="s">
        <v>218</v>
      </c>
    </row>
    <row r="28">
      <c r="F28" s="22">
        <v>0.5</v>
      </c>
      <c r="G28" s="26">
        <v>0.5</v>
      </c>
      <c r="H28" s="23">
        <v>0.5</v>
      </c>
      <c r="I28" s="22">
        <f>SUMPRODUCT(ABS(F8:F19-J8:J19))/COUNT(J8:J19)</f>
        <v>4.8523571701126498</v>
      </c>
      <c r="J28" s="23">
        <f>SUMXMY2(F8:F19,J8:J19)/COUNT(J8:J19)</f>
        <v>41.6968096805277</v>
      </c>
      <c r="K28" s="23">
        <f>SUMPRODUCT(ABS(1-J8:J19/F8:F19))/COUNT(J8:J19)</f>
        <v>0.17685534775568101</v>
      </c>
    </row>
    <row r="29">
      <c r="G29" s="31" t="s">
        <v>268</v>
      </c>
      <c r="H29">
        <f>F28+H28</f>
        <v>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1785709999999998"/>
    <col customWidth="1" min="2" max="2" width="7.5446429999999998"/>
    <col customWidth="1" min="3" max="3" width="6.9017860000000004"/>
    <col customWidth="1" min="5" max="5" width="6.3660709999999998"/>
  </cols>
  <sheetData>
    <row r="1">
      <c r="A1" s="1" t="s">
        <v>269</v>
      </c>
      <c r="E1" t="s">
        <v>270</v>
      </c>
    </row>
    <row r="3">
      <c r="A3" s="4" t="s">
        <v>206</v>
      </c>
      <c r="B3" s="4" t="s">
        <v>240</v>
      </c>
      <c r="C3" s="4" t="s">
        <v>207</v>
      </c>
      <c r="E3" s="24" t="str">
        <f t="shared" ref="E3:E9" si="298">B3</f>
        <v>qtr</v>
      </c>
      <c r="F3" s="24" t="str">
        <f t="shared" ref="F3:F9" si="299">C3</f>
        <v>y</v>
      </c>
      <c r="G3" s="24" t="s">
        <v>231</v>
      </c>
      <c r="H3" s="24" t="s">
        <v>232</v>
      </c>
      <c r="I3" s="24" t="s">
        <v>241</v>
      </c>
      <c r="J3" s="24" t="s">
        <v>193</v>
      </c>
    </row>
    <row r="4">
      <c r="A4" s="15">
        <v>1</v>
      </c>
      <c r="B4" s="15" t="s">
        <v>242</v>
      </c>
      <c r="C4" s="15">
        <v>10</v>
      </c>
      <c r="E4" t="str">
        <f t="shared" si="298"/>
        <v xml:space="preserve">10 Q1</v>
      </c>
      <c r="F4">
        <f t="shared" si="299"/>
        <v>10</v>
      </c>
      <c r="I4">
        <f t="shared" ref="I4:I7" si="300">F4/AVERAGE($F$4:$F$7)</f>
        <v>0.70175438596491202</v>
      </c>
    </row>
    <row r="5">
      <c r="A5" s="15">
        <f t="shared" ref="A5:A10" si="301">A4+1</f>
        <v>2</v>
      </c>
      <c r="B5" s="15" t="s">
        <v>243</v>
      </c>
      <c r="C5" s="15">
        <v>14</v>
      </c>
      <c r="E5" t="str">
        <f t="shared" si="298"/>
        <v xml:space="preserve">10 Q2</v>
      </c>
      <c r="F5">
        <f t="shared" si="299"/>
        <v>14</v>
      </c>
      <c r="I5">
        <f t="shared" si="300"/>
        <v>0.98245614035087703</v>
      </c>
    </row>
    <row r="6">
      <c r="A6" s="15">
        <f t="shared" si="301"/>
        <v>3</v>
      </c>
      <c r="B6" s="15" t="s">
        <v>244</v>
      </c>
      <c r="C6" s="15">
        <v>8</v>
      </c>
      <c r="E6" t="str">
        <f t="shared" si="298"/>
        <v xml:space="preserve">10 Q3</v>
      </c>
      <c r="F6">
        <f t="shared" si="299"/>
        <v>8</v>
      </c>
      <c r="I6">
        <f t="shared" si="300"/>
        <v>0.56140350877193002</v>
      </c>
    </row>
    <row r="7">
      <c r="A7" s="15">
        <f t="shared" si="301"/>
        <v>4</v>
      </c>
      <c r="B7" s="15" t="s">
        <v>245</v>
      </c>
      <c r="C7" s="15">
        <v>25</v>
      </c>
      <c r="E7" t="str">
        <f t="shared" si="298"/>
        <v xml:space="preserve">10 Q4</v>
      </c>
      <c r="F7">
        <f t="shared" si="299"/>
        <v>25</v>
      </c>
      <c r="G7">
        <f>F7/I7</f>
        <v>14.25</v>
      </c>
      <c r="H7">
        <f>(AVERAGE(F8:F11)-AVERAGE(F4:F7))/4</f>
        <v>1.875</v>
      </c>
      <c r="I7">
        <f t="shared" si="300"/>
        <v>1.7543859649122799</v>
      </c>
    </row>
    <row r="8">
      <c r="A8" s="15">
        <f t="shared" si="301"/>
        <v>5</v>
      </c>
      <c r="B8" s="15" t="s">
        <v>246</v>
      </c>
      <c r="C8" s="15">
        <v>16</v>
      </c>
      <c r="E8" t="str">
        <f t="shared" si="298"/>
        <v xml:space="preserve">11 Q1</v>
      </c>
      <c r="F8">
        <f t="shared" si="299"/>
        <v>16</v>
      </c>
      <c r="G8">
        <f t="shared" ref="G8:G9" si="302">$F$23*F8/I4+(1-$F$23)*(G7+H7)</f>
        <v>16.276960133618701</v>
      </c>
      <c r="H8">
        <f t="shared" ref="H8:H9" si="303">$G$23*(G8-G7)+(1-$G$23)*H7</f>
        <v>1.98716466245681</v>
      </c>
      <c r="I8">
        <f t="shared" ref="I8:I9" si="304">$H$23*(F8/G8)+(1-$H$23)*I4</f>
        <v>0.74521376020797303</v>
      </c>
      <c r="J8">
        <f t="shared" ref="J8:J10" si="305">(G7+H7)*I4</f>
        <v>11.3157894736842</v>
      </c>
    </row>
    <row r="9">
      <c r="A9" s="15">
        <f t="shared" si="301"/>
        <v>6</v>
      </c>
      <c r="B9" s="15" t="s">
        <v>247</v>
      </c>
      <c r="C9" s="15">
        <v>22</v>
      </c>
      <c r="E9" t="str">
        <f t="shared" si="298"/>
        <v xml:space="preserve">11 Q2</v>
      </c>
      <c r="F9">
        <f t="shared" si="299"/>
        <v>22</v>
      </c>
      <c r="G9">
        <f t="shared" si="302"/>
        <v>18.358117712793501</v>
      </c>
      <c r="H9">
        <f t="shared" si="303"/>
        <v>2.0565426205169</v>
      </c>
      <c r="I9">
        <f t="shared" si="304"/>
        <v>1.0158235208481301</v>
      </c>
      <c r="J9">
        <f t="shared" si="305"/>
        <v>17.943701554039102</v>
      </c>
    </row>
    <row r="10">
      <c r="A10" s="15">
        <f t="shared" si="301"/>
        <v>7</v>
      </c>
      <c r="B10" s="15" t="s">
        <v>248</v>
      </c>
      <c r="C10" s="15">
        <v>14</v>
      </c>
      <c r="E10" t="str">
        <f t="shared" ref="E10:E19" si="306">B10</f>
        <v xml:space="preserve">11 Q3</v>
      </c>
      <c r="F10">
        <f t="shared" ref="F10:F19" si="307">C10</f>
        <v>14</v>
      </c>
      <c r="G10">
        <f>$F$23*F10/I6+(1-$F$23)*(G9+H9)</f>
        <v>20.5176253250836</v>
      </c>
      <c r="H10">
        <f>$G$23*(G10-G9)+(1-$G$23)*H9</f>
        <v>2.13254303767952</v>
      </c>
      <c r="I10">
        <f t="shared" ref="I10:I13" si="308">$H$23*(F10/G10)+(1-$H$23)*I6</f>
        <v>0.58009222987909903</v>
      </c>
      <c r="J10">
        <f t="shared" si="305"/>
        <v>11.4608619415076</v>
      </c>
    </row>
    <row r="11">
      <c r="A11" s="15">
        <f t="shared" ref="A11:A19" si="309">A10+1</f>
        <v>8</v>
      </c>
      <c r="B11" s="15" t="s">
        <v>249</v>
      </c>
      <c r="C11" s="15">
        <v>35</v>
      </c>
      <c r="E11" t="str">
        <f t="shared" si="306"/>
        <v xml:space="preserve">11 Q4</v>
      </c>
      <c r="F11">
        <f t="shared" si="307"/>
        <v>35</v>
      </c>
      <c r="G11">
        <f t="shared" ref="G11:G13" si="310">$F$23*F11/I7+(1-$F$23)*(G10+H10)</f>
        <v>22.588697509549799</v>
      </c>
      <c r="H11">
        <f t="shared" ref="H11:H19" si="311">$G$23*(G11-G10)+(1-$G$23)*H10</f>
        <v>2.0871702327377699</v>
      </c>
      <c r="I11">
        <f t="shared" si="308"/>
        <v>1.72271617649486</v>
      </c>
      <c r="J11">
        <f t="shared" ref="J11:J13" si="312">(G10+H10)*I7</f>
        <v>39.7371374785317</v>
      </c>
    </row>
    <row r="12">
      <c r="A12" s="15">
        <f t="shared" si="309"/>
        <v>9</v>
      </c>
      <c r="B12" s="15" t="s">
        <v>250</v>
      </c>
      <c r="C12" s="15">
        <v>15</v>
      </c>
      <c r="E12" t="str">
        <f t="shared" si="306"/>
        <v xml:space="preserve">12 Q1</v>
      </c>
      <c r="F12">
        <f t="shared" si="307"/>
        <v>15</v>
      </c>
      <c r="G12">
        <f t="shared" si="310"/>
        <v>24.572343280580601</v>
      </c>
      <c r="H12">
        <f t="shared" si="311"/>
        <v>2.0107568601849302</v>
      </c>
      <c r="I12">
        <f t="shared" si="308"/>
        <v>0.72438711883455398</v>
      </c>
      <c r="J12">
        <f t="shared" si="312"/>
        <v>18.388796186624798</v>
      </c>
    </row>
    <row r="13">
      <c r="A13" s="15">
        <f t="shared" si="309"/>
        <v>10</v>
      </c>
      <c r="B13" s="15" t="s">
        <v>251</v>
      </c>
      <c r="C13" s="15">
        <v>27</v>
      </c>
      <c r="E13" t="str">
        <f t="shared" si="306"/>
        <v xml:space="preserve">12 Q2</v>
      </c>
      <c r="F13">
        <f t="shared" si="307"/>
        <v>27</v>
      </c>
      <c r="G13">
        <f t="shared" si="310"/>
        <v>26.583016360142999</v>
      </c>
      <c r="H13">
        <f t="shared" si="311"/>
        <v>2.01069502011529</v>
      </c>
      <c r="I13">
        <f t="shared" si="308"/>
        <v>1.0158022835357701</v>
      </c>
      <c r="J13">
        <f t="shared" si="312"/>
        <v>27.003738380050802</v>
      </c>
    </row>
    <row r="14">
      <c r="A14" s="15">
        <f t="shared" si="309"/>
        <v>11</v>
      </c>
      <c r="B14" s="15" t="s">
        <v>252</v>
      </c>
      <c r="C14" s="15">
        <v>18</v>
      </c>
      <c r="E14" t="str">
        <f t="shared" si="306"/>
        <v xml:space="preserve">12 Q3</v>
      </c>
      <c r="F14">
        <f t="shared" si="307"/>
        <v>18</v>
      </c>
      <c r="G14">
        <f t="shared" ref="G14:G19" si="313">$F$23*F14/I10+(1-$F$23)*(G13+H13)</f>
        <v>28.649164584607899</v>
      </c>
      <c r="H14">
        <f t="shared" si="311"/>
        <v>2.05162608407203</v>
      </c>
      <c r="I14">
        <f t="shared" ref="I14:I19" si="314">$H$23*(F14/G14)+(1-$H$23)*I10</f>
        <v>0.58754047050801494</v>
      </c>
      <c r="J14">
        <f t="shared" ref="J14:J19" si="315">(G13+H13)*I10</f>
        <v>16.586989795093402</v>
      </c>
    </row>
    <row r="15">
      <c r="A15" s="15">
        <f t="shared" si="309"/>
        <v>12</v>
      </c>
      <c r="B15" s="15" t="s">
        <v>253</v>
      </c>
      <c r="C15" s="15">
        <v>40</v>
      </c>
      <c r="E15" t="str">
        <f t="shared" si="306"/>
        <v xml:space="preserve">12 Q4</v>
      </c>
      <c r="F15">
        <f t="shared" si="307"/>
        <v>40</v>
      </c>
      <c r="G15">
        <f t="shared" si="313"/>
        <v>30.5304668358642</v>
      </c>
      <c r="H15">
        <f t="shared" si="311"/>
        <v>1.92590682625628</v>
      </c>
      <c r="I15">
        <f t="shared" si="314"/>
        <v>1.6589636097803699</v>
      </c>
      <c r="J15">
        <f t="shared" si="315"/>
        <v>52.888748716117298</v>
      </c>
    </row>
    <row r="16">
      <c r="A16" s="15">
        <f t="shared" si="309"/>
        <v>13</v>
      </c>
      <c r="B16" s="15" t="s">
        <v>254</v>
      </c>
      <c r="C16" s="15">
        <v>28</v>
      </c>
      <c r="E16" t="str">
        <f t="shared" si="306"/>
        <v xml:space="preserve">13 Q1</v>
      </c>
      <c r="F16">
        <f t="shared" si="307"/>
        <v>28</v>
      </c>
      <c r="G16">
        <f t="shared" si="313"/>
        <v>32.597451668636502</v>
      </c>
      <c r="H16">
        <f t="shared" si="311"/>
        <v>2.0300391838959002</v>
      </c>
      <c r="I16">
        <f t="shared" si="314"/>
        <v>0.74518352780214103</v>
      </c>
      <c r="J16">
        <f t="shared" si="315"/>
        <v>23.5109790049212</v>
      </c>
    </row>
    <row r="17">
      <c r="A17" s="15">
        <f t="shared" si="309"/>
        <v>14</v>
      </c>
      <c r="B17" s="15" t="s">
        <v>255</v>
      </c>
      <c r="C17" s="15">
        <v>40</v>
      </c>
      <c r="E17" t="str">
        <f t="shared" si="306"/>
        <v xml:space="preserve">13 Q2</v>
      </c>
      <c r="F17">
        <f t="shared" si="307"/>
        <v>40</v>
      </c>
      <c r="G17">
        <f t="shared" si="313"/>
        <v>34.735632989248103</v>
      </c>
      <c r="H17">
        <f t="shared" si="311"/>
        <v>2.1098609501264498</v>
      </c>
      <c r="I17">
        <f t="shared" si="314"/>
        <v>1.03678061194003</v>
      </c>
      <c r="J17">
        <f t="shared" si="315"/>
        <v>35.174684281116399</v>
      </c>
    </row>
    <row r="18">
      <c r="A18" s="15">
        <f t="shared" si="309"/>
        <v>15</v>
      </c>
      <c r="B18" s="15" t="s">
        <v>256</v>
      </c>
      <c r="C18" s="15">
        <v>25</v>
      </c>
      <c r="E18" t="str">
        <f t="shared" si="306"/>
        <v xml:space="preserve">13 Q3</v>
      </c>
      <c r="F18">
        <f t="shared" si="307"/>
        <v>25</v>
      </c>
      <c r="G18">
        <f t="shared" si="313"/>
        <v>36.975366159535099</v>
      </c>
      <c r="H18">
        <f t="shared" si="311"/>
        <v>2.2057221039036299</v>
      </c>
      <c r="I18">
        <f t="shared" si="314"/>
        <v>0.60122984279001801</v>
      </c>
      <c r="J18">
        <f t="shared" si="315"/>
        <v>21.6482188452404</v>
      </c>
    </row>
    <row r="19">
      <c r="A19" s="17">
        <f t="shared" si="309"/>
        <v>16</v>
      </c>
      <c r="B19" s="17" t="s">
        <v>257</v>
      </c>
      <c r="C19" s="17">
        <v>65</v>
      </c>
      <c r="E19" s="14" t="str">
        <f t="shared" si="306"/>
        <v xml:space="preserve">13 Q4</v>
      </c>
      <c r="F19" s="14">
        <f t="shared" si="307"/>
        <v>65</v>
      </c>
      <c r="G19" s="14">
        <f t="shared" si="313"/>
        <v>39.181088268644601</v>
      </c>
      <c r="H19" s="14">
        <f t="shared" si="311"/>
        <v>2.2057221077461802</v>
      </c>
      <c r="I19" s="14">
        <f t="shared" si="314"/>
        <v>1.6589636112425401</v>
      </c>
      <c r="J19" s="14">
        <f t="shared" si="315"/>
        <v>64.999999620637595</v>
      </c>
    </row>
    <row r="20">
      <c r="E20" s="31" t="s">
        <v>217</v>
      </c>
      <c r="I20">
        <f>I16</f>
        <v>0.74518352780214103</v>
      </c>
      <c r="J20">
        <f>($G$19+$H$19*(ROW(G20)-ROW($G$19)))*I20</f>
        <v>30.8407693607572</v>
      </c>
    </row>
    <row r="22">
      <c r="F22" s="25" t="s">
        <v>203</v>
      </c>
      <c r="G22" s="25" t="s">
        <v>233</v>
      </c>
      <c r="H22" s="25" t="s">
        <v>182</v>
      </c>
      <c r="I22" s="25" t="s">
        <v>211</v>
      </c>
      <c r="J22" s="25" t="s">
        <v>212</v>
      </c>
      <c r="K22" s="25" t="s">
        <v>218</v>
      </c>
    </row>
    <row r="23">
      <c r="F23" s="22">
        <v>2.276556308893923e-02</v>
      </c>
      <c r="G23" s="26">
        <v>0.73811900388458429</v>
      </c>
      <c r="H23" s="23">
        <v>0.15453312964185315</v>
      </c>
      <c r="I23" s="30">
        <f>SUMPRODUCT(ABS(F8:F19-J8:J19))/COUNT(J8:J19)</f>
        <v>3.86476635375706</v>
      </c>
      <c r="J23" s="26">
        <f>SUMXMY2(F8:F19,J8:J19)/COUNT(J8:J19)</f>
        <v>25.1294076645888</v>
      </c>
      <c r="K23" s="23">
        <f>SUMPRODUCT(ABS(1-J8:J19/F8:F19))/COUNT(J8:J19)</f>
        <v>0.15297149681623901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2" max="2" width="7.5446429999999998"/>
  </cols>
  <sheetData>
    <row r="1">
      <c r="A1" s="1" t="s">
        <v>269</v>
      </c>
      <c r="E1" t="s">
        <v>270</v>
      </c>
    </row>
    <row r="3">
      <c r="A3" s="4" t="s">
        <v>206</v>
      </c>
      <c r="B3" s="4" t="s">
        <v>240</v>
      </c>
      <c r="C3" s="4" t="s">
        <v>207</v>
      </c>
      <c r="E3" s="24" t="str">
        <f t="shared" ref="E3:E9" si="316">B3</f>
        <v>qtr</v>
      </c>
      <c r="F3" s="24" t="str">
        <f t="shared" ref="F3:F9" si="317">C3</f>
        <v>y</v>
      </c>
      <c r="G3" s="24" t="s">
        <v>231</v>
      </c>
      <c r="H3" s="24" t="s">
        <v>232</v>
      </c>
      <c r="I3" s="24" t="s">
        <v>241</v>
      </c>
      <c r="J3" s="24" t="s">
        <v>193</v>
      </c>
    </row>
    <row r="4">
      <c r="A4" s="15">
        <v>1</v>
      </c>
      <c r="B4" s="15" t="s">
        <v>242</v>
      </c>
      <c r="C4" s="15">
        <v>10</v>
      </c>
      <c r="E4" t="str">
        <f t="shared" si="316"/>
        <v xml:space="preserve">10 Q1</v>
      </c>
      <c r="F4">
        <f t="shared" si="317"/>
        <v>10</v>
      </c>
      <c r="I4">
        <f t="shared" ref="I4:I7" si="318">F4/AVERAGE($F$4:$F$7)</f>
        <v>0.70175438596491202</v>
      </c>
    </row>
    <row r="5">
      <c r="A5" s="15">
        <f t="shared" ref="A5:A10" si="319">A4+1</f>
        <v>2</v>
      </c>
      <c r="B5" s="15" t="s">
        <v>243</v>
      </c>
      <c r="C5" s="15">
        <v>14</v>
      </c>
      <c r="E5" t="str">
        <f t="shared" si="316"/>
        <v xml:space="preserve">10 Q2</v>
      </c>
      <c r="F5">
        <f t="shared" si="317"/>
        <v>14</v>
      </c>
      <c r="I5">
        <f t="shared" si="318"/>
        <v>0.98245614035087703</v>
      </c>
    </row>
    <row r="6">
      <c r="A6" s="15">
        <f t="shared" si="319"/>
        <v>3</v>
      </c>
      <c r="B6" s="15" t="s">
        <v>244</v>
      </c>
      <c r="C6" s="15">
        <v>8</v>
      </c>
      <c r="E6" t="str">
        <f t="shared" si="316"/>
        <v xml:space="preserve">10 Q3</v>
      </c>
      <c r="F6">
        <f t="shared" si="317"/>
        <v>8</v>
      </c>
      <c r="I6">
        <f t="shared" si="318"/>
        <v>0.56140350877193002</v>
      </c>
    </row>
    <row r="7">
      <c r="A7" s="15">
        <f t="shared" si="319"/>
        <v>4</v>
      </c>
      <c r="B7" s="15" t="s">
        <v>245</v>
      </c>
      <c r="C7" s="15">
        <v>25</v>
      </c>
      <c r="E7" t="str">
        <f t="shared" si="316"/>
        <v xml:space="preserve">10 Q4</v>
      </c>
      <c r="F7">
        <f t="shared" si="317"/>
        <v>25</v>
      </c>
      <c r="G7">
        <f>F7/I7</f>
        <v>14.25</v>
      </c>
      <c r="H7">
        <f>(AVERAGE(F8:F11)-AVERAGE(F4:F7))/4</f>
        <v>1.875</v>
      </c>
      <c r="I7">
        <f t="shared" si="318"/>
        <v>1.7543859649122799</v>
      </c>
    </row>
    <row r="8">
      <c r="A8" s="15">
        <f t="shared" si="319"/>
        <v>5</v>
      </c>
      <c r="B8" s="15" t="s">
        <v>246</v>
      </c>
      <c r="C8" s="15">
        <v>16</v>
      </c>
      <c r="E8" t="str">
        <f t="shared" si="316"/>
        <v xml:space="preserve">11 Q1</v>
      </c>
      <c r="F8">
        <f t="shared" si="317"/>
        <v>16</v>
      </c>
      <c r="G8">
        <f t="shared" ref="G8:G9" si="320">$F$23*F8/I4+(1-$F$23)*(G7+H7)</f>
        <v>16.409663890959401</v>
      </c>
      <c r="H8">
        <f t="shared" ref="H8:H9" si="321">$G$23*(G8-G7)+(1-$G$23)*H7</f>
        <v>1.97597293299193</v>
      </c>
      <c r="I8">
        <f t="shared" ref="I8:I9" si="322">$H$23*(F8/G8)+(1-$H$23)*I4</f>
        <v>0.745763100902611</v>
      </c>
      <c r="J8">
        <f t="shared" ref="J8:J10" si="323">(G7+H7)*I4</f>
        <v>11.3157894736842</v>
      </c>
    </row>
    <row r="9">
      <c r="A9" s="15">
        <f t="shared" si="319"/>
        <v>6</v>
      </c>
      <c r="B9" s="15" t="s">
        <v>247</v>
      </c>
      <c r="C9" s="15">
        <v>22</v>
      </c>
      <c r="E9" t="str">
        <f t="shared" si="316"/>
        <v xml:space="preserve">11 Q2</v>
      </c>
      <c r="F9">
        <f t="shared" si="317"/>
        <v>22</v>
      </c>
      <c r="G9">
        <f t="shared" si="320"/>
        <v>18.556529846859299</v>
      </c>
      <c r="H9">
        <f t="shared" si="321"/>
        <v>2.0365902796203201</v>
      </c>
      <c r="I9">
        <f t="shared" si="322"/>
        <v>1.0151647131796999</v>
      </c>
      <c r="J9">
        <f t="shared" si="323"/>
        <v>18.0630817919522</v>
      </c>
    </row>
    <row r="10">
      <c r="A10" s="15">
        <f t="shared" si="319"/>
        <v>7</v>
      </c>
      <c r="B10" s="15" t="s">
        <v>248</v>
      </c>
      <c r="C10" s="15">
        <v>14</v>
      </c>
      <c r="E10" t="str">
        <f t="shared" ref="E10:E19" si="324">B10</f>
        <v xml:space="preserve">11 Q3</v>
      </c>
      <c r="F10">
        <f t="shared" ref="F10:F19" si="325">C10</f>
        <v>14</v>
      </c>
      <c r="G10">
        <f>$F$23*F10/I6+(1-$F$23)*(G9+H9)</f>
        <v>20.778391748742099</v>
      </c>
      <c r="H10">
        <f>$G$23*(G10-G9)+(1-$G$23)*H9</f>
        <v>2.1023078493372398</v>
      </c>
      <c r="I10">
        <f t="shared" ref="I10:I13" si="326">$H$23*(F10/G10)+(1-$H$23)*I6</f>
        <v>0.57949994067812405</v>
      </c>
      <c r="J10">
        <f t="shared" si="323"/>
        <v>11.5610498955675</v>
      </c>
    </row>
    <row r="11">
      <c r="A11" s="15">
        <f t="shared" ref="A11:A19" si="327">A10+1</f>
        <v>8</v>
      </c>
      <c r="B11" s="15" t="s">
        <v>249</v>
      </c>
      <c r="C11" s="15">
        <v>35</v>
      </c>
      <c r="E11" t="str">
        <f t="shared" si="324"/>
        <v xml:space="preserve">11 Q4</v>
      </c>
      <c r="F11">
        <f t="shared" si="325"/>
        <v>35</v>
      </c>
      <c r="G11">
        <f t="shared" ref="G11:G13" si="328">$F$23*F11/I7+(1-$F$23)*(G10+H10)</f>
        <v>22.755716174735099</v>
      </c>
      <c r="H11">
        <f t="shared" ref="H11:H19" si="329">$G$23*(G11-G10)+(1-$G$23)*H10</f>
        <v>2.0579750651969402</v>
      </c>
      <c r="I11">
        <f t="shared" si="326"/>
        <v>1.71955159911098</v>
      </c>
      <c r="J11">
        <f t="shared" ref="J11:J13" si="330">(G10+H10)*I7</f>
        <v>40.1415782422444</v>
      </c>
    </row>
    <row r="12">
      <c r="A12" s="15">
        <f t="shared" si="327"/>
        <v>9</v>
      </c>
      <c r="B12" s="15" t="s">
        <v>250</v>
      </c>
      <c r="C12" s="15">
        <v>15</v>
      </c>
      <c r="E12" t="str">
        <f t="shared" si="324"/>
        <v xml:space="preserve">12 Q1</v>
      </c>
      <c r="F12">
        <f t="shared" si="325"/>
        <v>15</v>
      </c>
      <c r="G12">
        <f t="shared" si="328"/>
        <v>24.6132509559372</v>
      </c>
      <c r="H12">
        <f t="shared" si="329"/>
        <v>1.9868770299087899</v>
      </c>
      <c r="I12">
        <f t="shared" si="326"/>
        <v>0.72380788171760202</v>
      </c>
      <c r="J12">
        <f t="shared" si="330"/>
        <v>18.505135323931601</v>
      </c>
    </row>
    <row r="13">
      <c r="A13" s="15">
        <f t="shared" si="327"/>
        <v>10</v>
      </c>
      <c r="B13" s="15" t="s">
        <v>251</v>
      </c>
      <c r="C13" s="15">
        <v>27</v>
      </c>
      <c r="E13" t="str">
        <f t="shared" si="324"/>
        <v xml:space="preserve">12 Q2</v>
      </c>
      <c r="F13">
        <f t="shared" si="325"/>
        <v>27</v>
      </c>
      <c r="G13">
        <f t="shared" si="328"/>
        <v>26.5999804789923</v>
      </c>
      <c r="H13">
        <f t="shared" si="329"/>
        <v>1.9868247078541601</v>
      </c>
      <c r="I13">
        <f t="shared" si="326"/>
        <v>1.0151443620626901</v>
      </c>
      <c r="J13">
        <f t="shared" si="330"/>
        <v>27.0035112972947</v>
      </c>
    </row>
    <row r="14">
      <c r="A14" s="15">
        <f t="shared" si="327"/>
        <v>11</v>
      </c>
      <c r="B14" s="15" t="s">
        <v>252</v>
      </c>
      <c r="C14" s="15">
        <v>18</v>
      </c>
      <c r="E14" t="str">
        <f t="shared" si="324"/>
        <v xml:space="preserve">12 Q3</v>
      </c>
      <c r="F14">
        <f t="shared" si="325"/>
        <v>18</v>
      </c>
      <c r="G14">
        <f t="shared" ref="G14:G19" si="331">$F$23*F14/I10+(1-$F$23)*(G13+H13)</f>
        <v>28.692331592350801</v>
      </c>
      <c r="H14">
        <f t="shared" si="329"/>
        <v>2.0242559065775301</v>
      </c>
      <c r="I14">
        <f t="shared" ref="I14:I19" si="332">$H$23*(F14/G14)+(1-$H$23)*I10</f>
        <v>0.58720488590820297</v>
      </c>
      <c r="J14">
        <f t="shared" ref="J14:J19" si="333">(G13+H13)*I10</f>
        <v>16.566051909954599</v>
      </c>
    </row>
    <row r="15">
      <c r="A15" s="15">
        <f t="shared" si="327"/>
        <v>12</v>
      </c>
      <c r="B15" s="15" t="s">
        <v>253</v>
      </c>
      <c r="C15" s="15">
        <v>40</v>
      </c>
      <c r="E15" t="str">
        <f t="shared" si="324"/>
        <v xml:space="preserve">12 Q4</v>
      </c>
      <c r="F15">
        <f t="shared" si="325"/>
        <v>40</v>
      </c>
      <c r="G15">
        <f t="shared" si="331"/>
        <v>30.398671913706799</v>
      </c>
      <c r="H15">
        <f t="shared" si="329"/>
        <v>1.91148828798188</v>
      </c>
      <c r="I15">
        <f t="shared" si="332"/>
        <v>1.65453963645166</v>
      </c>
      <c r="J15">
        <f t="shared" si="333"/>
        <v>52.818757153014502</v>
      </c>
    </row>
    <row r="16">
      <c r="A16" s="15">
        <f t="shared" si="327"/>
        <v>13</v>
      </c>
      <c r="B16" s="15" t="s">
        <v>254</v>
      </c>
      <c r="C16" s="15">
        <v>28</v>
      </c>
      <c r="E16" t="str">
        <f t="shared" si="324"/>
        <v xml:space="preserve">13 Q1</v>
      </c>
      <c r="F16">
        <f t="shared" si="325"/>
        <v>28</v>
      </c>
      <c r="G16">
        <f t="shared" si="331"/>
        <v>32.581993452524799</v>
      </c>
      <c r="H16">
        <f t="shared" si="329"/>
        <v>2.00791007343962</v>
      </c>
      <c r="I16">
        <f t="shared" si="332"/>
        <v>0.74563865356316095</v>
      </c>
      <c r="J16">
        <f t="shared" si="333"/>
        <v>23.386348613540701</v>
      </c>
    </row>
    <row r="17">
      <c r="A17" s="15">
        <f t="shared" si="327"/>
        <v>14</v>
      </c>
      <c r="B17" s="15" t="s">
        <v>255</v>
      </c>
      <c r="C17" s="15">
        <v>40</v>
      </c>
      <c r="E17" t="str">
        <f t="shared" si="324"/>
        <v xml:space="preserve">13 Q2</v>
      </c>
      <c r="F17">
        <f t="shared" si="325"/>
        <v>40</v>
      </c>
      <c r="G17">
        <f t="shared" si="331"/>
        <v>34.795175369796297</v>
      </c>
      <c r="H17">
        <f t="shared" si="329"/>
        <v>2.0807219079947799</v>
      </c>
      <c r="I17">
        <f t="shared" si="332"/>
        <v>1.0367944176974</v>
      </c>
      <c r="J17">
        <f t="shared" si="333"/>
        <v>35.113745548675098</v>
      </c>
    </row>
    <row r="18">
      <c r="A18" s="15">
        <f t="shared" si="327"/>
        <v>15</v>
      </c>
      <c r="B18" s="15" t="s">
        <v>256</v>
      </c>
      <c r="C18" s="15">
        <v>25</v>
      </c>
      <c r="E18" t="str">
        <f t="shared" si="324"/>
        <v xml:space="preserve">13 Q3</v>
      </c>
      <c r="F18">
        <f t="shared" si="325"/>
        <v>25</v>
      </c>
      <c r="G18">
        <f t="shared" si="331"/>
        <v>37.118924771796202</v>
      </c>
      <c r="H18">
        <f t="shared" si="329"/>
        <v>2.1669260232574201</v>
      </c>
      <c r="I18">
        <f t="shared" si="332"/>
        <v>0.60110346931995196</v>
      </c>
      <c r="J18">
        <f t="shared" si="333"/>
        <v>21.653707053767899</v>
      </c>
    </row>
    <row r="19">
      <c r="A19" s="17">
        <f t="shared" si="327"/>
        <v>16</v>
      </c>
      <c r="B19" s="17" t="s">
        <v>257</v>
      </c>
      <c r="C19" s="17">
        <v>65</v>
      </c>
      <c r="E19" s="14" t="str">
        <f t="shared" si="324"/>
        <v xml:space="preserve">13 Q4</v>
      </c>
      <c r="F19" s="14">
        <f t="shared" si="325"/>
        <v>65</v>
      </c>
      <c r="G19" s="14">
        <f t="shared" si="331"/>
        <v>39.2858508648495</v>
      </c>
      <c r="H19" s="14">
        <f t="shared" si="329"/>
        <v>2.1669260480146701</v>
      </c>
      <c r="I19" s="14">
        <f t="shared" si="332"/>
        <v>1.6545396470781999</v>
      </c>
      <c r="J19" s="14">
        <f t="shared" si="333"/>
        <v>64.999997292142197</v>
      </c>
    </row>
    <row r="20">
      <c r="E20" t="s">
        <v>217</v>
      </c>
      <c r="I20">
        <f>I16</f>
        <v>0.74563865356316095</v>
      </c>
      <c r="J20">
        <f>($G$19+$H$19*(ROW(G20)-ROW($G$19)))*I20</f>
        <v>30.9087927637622</v>
      </c>
    </row>
    <row r="22">
      <c r="F22" s="25" t="s">
        <v>203</v>
      </c>
      <c r="G22" s="25" t="s">
        <v>233</v>
      </c>
      <c r="H22" s="25" t="s">
        <v>182</v>
      </c>
      <c r="I22" s="25" t="s">
        <v>211</v>
      </c>
      <c r="J22" s="25" t="s">
        <v>212</v>
      </c>
      <c r="K22" s="25" t="s">
        <v>218</v>
      </c>
    </row>
    <row r="23">
      <c r="F23" s="22">
        <v>4.2646275799157557e-02</v>
      </c>
      <c r="G23" s="26">
        <v>0.35470931227567004</v>
      </c>
      <c r="H23" s="23">
        <v>0.16103843311388635</v>
      </c>
      <c r="I23" s="30">
        <f>SUMPRODUCT(ABS(F8:F19-J8:J19))/COUNT(J8:J19)</f>
        <v>3.9007675364334</v>
      </c>
      <c r="J23" s="26">
        <f>SUMXMY2(F8:F19,J8:J19)/COUNT(J8:J19)</f>
        <v>25.403926988900501</v>
      </c>
      <c r="K23" s="23">
        <f>SUMPRODUCT(ABS(1-J8:J19/F8:F19))/COUNT(J8:J19)</f>
        <v>0.15396223127339601</v>
      </c>
    </row>
    <row r="24">
      <c r="G24" s="31" t="s">
        <v>268</v>
      </c>
      <c r="H24">
        <f>F23+H23</f>
        <v>0.20368470891304397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2" max="2" width="7.5446429999999998"/>
    <col customWidth="1" min="5" max="5" width="6.4553570000000002"/>
  </cols>
  <sheetData>
    <row r="1">
      <c r="A1" s="1" t="s">
        <v>269</v>
      </c>
      <c r="E1" t="s">
        <v>271</v>
      </c>
    </row>
    <row r="3">
      <c r="A3" s="4" t="s">
        <v>206</v>
      </c>
      <c r="B3" s="4" t="s">
        <v>240</v>
      </c>
      <c r="C3" s="4" t="s">
        <v>207</v>
      </c>
      <c r="E3" s="24" t="str">
        <f t="shared" ref="E3:E9" si="334">B3</f>
        <v>qtr</v>
      </c>
      <c r="F3" s="24" t="str">
        <f t="shared" ref="F3:F9" si="335">C3</f>
        <v>y</v>
      </c>
      <c r="G3" s="24" t="s">
        <v>231</v>
      </c>
      <c r="H3" s="24" t="s">
        <v>232</v>
      </c>
      <c r="I3" s="24" t="s">
        <v>241</v>
      </c>
      <c r="J3" s="24" t="s">
        <v>193</v>
      </c>
    </row>
    <row r="4">
      <c r="A4" s="15">
        <v>1</v>
      </c>
      <c r="B4" s="15" t="s">
        <v>242</v>
      </c>
      <c r="C4" s="15">
        <v>10</v>
      </c>
      <c r="E4" s="15" t="str">
        <f t="shared" si="334"/>
        <v xml:space="preserve">10 Q1</v>
      </c>
      <c r="F4" s="15">
        <f t="shared" si="335"/>
        <v>10</v>
      </c>
      <c r="I4">
        <f t="shared" ref="I4:I7" si="336">F4-AVERAGE($F$4:$F$7)</f>
        <v>-4.25</v>
      </c>
    </row>
    <row r="5">
      <c r="A5" s="15">
        <f t="shared" ref="A5:A10" si="337">A4+1</f>
        <v>2</v>
      </c>
      <c r="B5" s="15" t="s">
        <v>243</v>
      </c>
      <c r="C5" s="15">
        <v>14</v>
      </c>
      <c r="E5" s="15" t="str">
        <f t="shared" si="334"/>
        <v xml:space="preserve">10 Q2</v>
      </c>
      <c r="F5" s="15">
        <f t="shared" si="335"/>
        <v>14</v>
      </c>
      <c r="I5">
        <f t="shared" si="336"/>
        <v>-0.25</v>
      </c>
    </row>
    <row r="6">
      <c r="A6" s="15">
        <f t="shared" si="337"/>
        <v>3</v>
      </c>
      <c r="B6" s="15" t="s">
        <v>244</v>
      </c>
      <c r="C6" s="15">
        <v>8</v>
      </c>
      <c r="E6" s="15" t="str">
        <f t="shared" si="334"/>
        <v xml:space="preserve">10 Q3</v>
      </c>
      <c r="F6" s="15">
        <f t="shared" si="335"/>
        <v>8</v>
      </c>
      <c r="I6">
        <f t="shared" si="336"/>
        <v>-6.25</v>
      </c>
    </row>
    <row r="7">
      <c r="A7" s="15">
        <f t="shared" si="337"/>
        <v>4</v>
      </c>
      <c r="B7" s="15" t="s">
        <v>245</v>
      </c>
      <c r="C7" s="15">
        <v>25</v>
      </c>
      <c r="E7" s="15" t="str">
        <f t="shared" si="334"/>
        <v xml:space="preserve">10 Q4</v>
      </c>
      <c r="F7" s="15">
        <f t="shared" si="335"/>
        <v>25</v>
      </c>
      <c r="G7">
        <f>F7-I7</f>
        <v>14.25</v>
      </c>
      <c r="H7">
        <f>(AVERAGE(F8:F11)-AVERAGE(F4:F7))/4</f>
        <v>1.875</v>
      </c>
      <c r="I7">
        <f t="shared" si="336"/>
        <v>10.75</v>
      </c>
    </row>
    <row r="8">
      <c r="A8" s="15">
        <f t="shared" si="337"/>
        <v>5</v>
      </c>
      <c r="B8" s="15" t="s">
        <v>246</v>
      </c>
      <c r="C8" s="15">
        <v>16</v>
      </c>
      <c r="E8" s="15" t="str">
        <f t="shared" si="334"/>
        <v xml:space="preserve">11 Q1</v>
      </c>
      <c r="F8" s="15">
        <f t="shared" si="335"/>
        <v>16</v>
      </c>
      <c r="G8">
        <f t="shared" ref="G8:G9" si="338">$F$26*(F8-I4)+(1-$F$26)*(G7+H7)</f>
        <v>16.189070369472599</v>
      </c>
      <c r="H8">
        <f t="shared" ref="H8:H9" si="339">$G$26*(G8-G7)+(1-$G$26)*H7</f>
        <v>1.9390703694725999</v>
      </c>
      <c r="I8">
        <f t="shared" ref="I8:I9" si="340">$H$26*(F8-G8)+(1-$H$26)*I4</f>
        <v>-3.31240537741551</v>
      </c>
      <c r="J8">
        <f t="shared" ref="J8:J10" si="341">G7+H7+I4</f>
        <v>11.875</v>
      </c>
    </row>
    <row r="9">
      <c r="A9" s="15">
        <f t="shared" si="337"/>
        <v>6</v>
      </c>
      <c r="B9" s="15" t="s">
        <v>247</v>
      </c>
      <c r="C9" s="15">
        <v>22</v>
      </c>
      <c r="E9" s="15" t="str">
        <f t="shared" si="334"/>
        <v xml:space="preserve">11 Q2</v>
      </c>
      <c r="F9" s="15">
        <f t="shared" si="335"/>
        <v>22</v>
      </c>
      <c r="G9">
        <f t="shared" si="338"/>
        <v>18.1921623257984</v>
      </c>
      <c r="H9">
        <f t="shared" si="339"/>
        <v>2.0030919563257998</v>
      </c>
      <c r="I9">
        <f t="shared" si="340"/>
        <v>0.68688074623397499</v>
      </c>
      <c r="J9">
        <f t="shared" si="341"/>
        <v>17.878140738945199</v>
      </c>
    </row>
    <row r="10">
      <c r="A10" s="15">
        <f t="shared" si="337"/>
        <v>7</v>
      </c>
      <c r="B10" s="15" t="s">
        <v>248</v>
      </c>
      <c r="C10" s="15">
        <v>14</v>
      </c>
      <c r="E10" s="15" t="str">
        <f t="shared" ref="E10:E19" si="342">B10</f>
        <v xml:space="preserve">11 Q3</v>
      </c>
      <c r="F10" s="15">
        <f t="shared" ref="F10:F19" si="343">C10</f>
        <v>14</v>
      </c>
      <c r="G10">
        <f>$F$26*(F10-I6)+(1-$F$26)*(G9+H9)</f>
        <v>20.1961046041536</v>
      </c>
      <c r="H10">
        <f>$G$26*(G10-G9)+(1-$G$26)*H9</f>
        <v>2.0039422783552001</v>
      </c>
      <c r="I10">
        <f t="shared" ref="I10:I13" si="344">$H$26*(F10-G10)+(1-$H$26)*I6</f>
        <v>-6.23755653559033</v>
      </c>
      <c r="J10">
        <f t="shared" si="341"/>
        <v>13.9452542821242</v>
      </c>
    </row>
    <row r="11">
      <c r="A11" s="15">
        <f t="shared" ref="A11:A19" si="345">A10+1</f>
        <v>8</v>
      </c>
      <c r="B11" s="15" t="s">
        <v>249</v>
      </c>
      <c r="C11" s="15">
        <v>35</v>
      </c>
      <c r="E11" s="15" t="str">
        <f t="shared" si="342"/>
        <v xml:space="preserve">11 Q4</v>
      </c>
      <c r="F11" s="15">
        <f t="shared" si="343"/>
        <v>35</v>
      </c>
      <c r="G11">
        <f t="shared" ref="G11:G13" si="346">$F$26*(F11-I7)+(1-$F$26)*(G10+H10)</f>
        <v>22.2318871864213</v>
      </c>
      <c r="H11">
        <f t="shared" ref="H11:H19" si="347">$G$26*(G11-G10)+(1-$G$26)*H10</f>
        <v>2.0357825822677</v>
      </c>
      <c r="I11">
        <f t="shared" si="344"/>
        <v>11.215945459275201</v>
      </c>
      <c r="J11">
        <f t="shared" ref="J11:J13" si="348">G10+H10+I7</f>
        <v>32.950046882508801</v>
      </c>
    </row>
    <row r="12">
      <c r="A12" s="15">
        <f t="shared" si="345"/>
        <v>9</v>
      </c>
      <c r="B12" s="15" t="s">
        <v>250</v>
      </c>
      <c r="C12" s="15">
        <v>15</v>
      </c>
      <c r="E12" s="15" t="str">
        <f t="shared" si="342"/>
        <v xml:space="preserve">12 Q1</v>
      </c>
      <c r="F12" s="15">
        <f t="shared" si="343"/>
        <v>15</v>
      </c>
      <c r="G12">
        <f t="shared" si="346"/>
        <v>24.175171346905799</v>
      </c>
      <c r="H12">
        <f t="shared" si="347"/>
        <v>1.9432841604844999</v>
      </c>
      <c r="I12">
        <f t="shared" si="344"/>
        <v>-4.6660111639190198</v>
      </c>
      <c r="J12">
        <f t="shared" si="348"/>
        <v>20.955264391273499</v>
      </c>
    </row>
    <row r="13">
      <c r="A13" s="15">
        <f t="shared" si="345"/>
        <v>10</v>
      </c>
      <c r="B13" s="15" t="s">
        <v>251</v>
      </c>
      <c r="C13" s="15">
        <v>27</v>
      </c>
      <c r="E13" s="15" t="str">
        <f t="shared" si="342"/>
        <v xml:space="preserve">12 Q2</v>
      </c>
      <c r="F13" s="15">
        <f t="shared" si="343"/>
        <v>27</v>
      </c>
      <c r="G13">
        <f t="shared" si="346"/>
        <v>26.121479065730501</v>
      </c>
      <c r="H13">
        <f t="shared" si="347"/>
        <v>1.9463077188247</v>
      </c>
      <c r="I13">
        <f t="shared" si="344"/>
        <v>0.73112697212827904</v>
      </c>
      <c r="J13">
        <f t="shared" si="348"/>
        <v>26.805336253624301</v>
      </c>
    </row>
    <row r="14">
      <c r="A14" s="15">
        <f t="shared" si="345"/>
        <v>11</v>
      </c>
      <c r="B14" s="15" t="s">
        <v>252</v>
      </c>
      <c r="C14" s="15">
        <v>18</v>
      </c>
      <c r="E14" s="15" t="str">
        <f t="shared" si="342"/>
        <v xml:space="preserve">12 Q3</v>
      </c>
      <c r="F14" s="15">
        <f t="shared" si="343"/>
        <v>18</v>
      </c>
      <c r="G14">
        <f t="shared" ref="G14:G19" si="349">$F$26*(F14-I10)+(1-$F$26)*(G13+H13)</f>
        <v>28.008294840987599</v>
      </c>
      <c r="H14">
        <f t="shared" si="347"/>
        <v>1.8868157752571</v>
      </c>
      <c r="I14">
        <f t="shared" ref="I14:I19" si="350">$H$26*(F14-G14)+(1-$H$26)*I10</f>
        <v>-7.1081512712727299</v>
      </c>
      <c r="J14">
        <f t="shared" ref="J14:J19" si="351">G13+H13+I10</f>
        <v>21.830230248964899</v>
      </c>
    </row>
    <row r="15">
      <c r="A15" s="15">
        <f t="shared" si="345"/>
        <v>12</v>
      </c>
      <c r="B15" s="15" t="s">
        <v>253</v>
      </c>
      <c r="C15" s="15">
        <v>40</v>
      </c>
      <c r="E15" s="15" t="str">
        <f t="shared" si="342"/>
        <v xml:space="preserve">12 Q4</v>
      </c>
      <c r="F15" s="15">
        <f t="shared" si="343"/>
        <v>40</v>
      </c>
      <c r="G15">
        <f t="shared" si="349"/>
        <v>29.877853459090002</v>
      </c>
      <c r="H15">
        <f t="shared" si="347"/>
        <v>1.8695586181024</v>
      </c>
      <c r="I15">
        <f t="shared" si="350"/>
        <v>10.9634072285365</v>
      </c>
      <c r="J15">
        <f t="shared" si="351"/>
        <v>41.111056075519897</v>
      </c>
    </row>
    <row r="16">
      <c r="A16" s="15">
        <f t="shared" si="345"/>
        <v>13</v>
      </c>
      <c r="B16" s="15" t="s">
        <v>254</v>
      </c>
      <c r="C16" s="15">
        <v>28</v>
      </c>
      <c r="E16" s="15" t="str">
        <f t="shared" si="342"/>
        <v xml:space="preserve">13 Q1</v>
      </c>
      <c r="F16" s="15">
        <f t="shared" si="343"/>
        <v>28</v>
      </c>
      <c r="G16">
        <f t="shared" si="349"/>
        <v>31.761679951830899</v>
      </c>
      <c r="H16">
        <f t="shared" si="347"/>
        <v>1.8838264927409001</v>
      </c>
      <c r="I16">
        <f t="shared" si="350"/>
        <v>-4.4572175726400198</v>
      </c>
      <c r="J16">
        <f t="shared" si="351"/>
        <v>27.081400913273399</v>
      </c>
    </row>
    <row r="17">
      <c r="A17" s="15">
        <f t="shared" si="345"/>
        <v>14</v>
      </c>
      <c r="B17" s="15" t="s">
        <v>255</v>
      </c>
      <c r="C17" s="15">
        <v>40</v>
      </c>
      <c r="E17" s="15" t="str">
        <f t="shared" si="342"/>
        <v xml:space="preserve">13 Q2</v>
      </c>
      <c r="F17" s="15">
        <f t="shared" si="343"/>
        <v>40</v>
      </c>
      <c r="G17">
        <f t="shared" si="349"/>
        <v>33.732849759643699</v>
      </c>
      <c r="H17">
        <f t="shared" si="347"/>
        <v>1.9711698078127999</v>
      </c>
      <c r="I17">
        <f t="shared" si="350"/>
        <v>2.0092938252975898</v>
      </c>
      <c r="J17">
        <f t="shared" si="351"/>
        <v>34.376633416700102</v>
      </c>
    </row>
    <row r="18">
      <c r="A18" s="15">
        <f t="shared" si="345"/>
        <v>15</v>
      </c>
      <c r="B18" s="15" t="s">
        <v>256</v>
      </c>
      <c r="C18" s="15">
        <v>25</v>
      </c>
      <c r="E18" s="15" t="str">
        <f t="shared" si="342"/>
        <v xml:space="preserve">13 Q3</v>
      </c>
      <c r="F18" s="15">
        <f t="shared" si="343"/>
        <v>25</v>
      </c>
      <c r="G18">
        <f t="shared" si="349"/>
        <v>35.648167783138597</v>
      </c>
      <c r="H18">
        <f t="shared" si="347"/>
        <v>1.9153180234949001</v>
      </c>
      <c r="I18">
        <f t="shared" si="350"/>
        <v>-7.9254765507936904</v>
      </c>
      <c r="J18">
        <f t="shared" si="351"/>
        <v>28.595868296183799</v>
      </c>
    </row>
    <row r="19">
      <c r="A19" s="17">
        <f t="shared" si="345"/>
        <v>16</v>
      </c>
      <c r="B19" s="17" t="s">
        <v>257</v>
      </c>
      <c r="C19" s="17">
        <v>65</v>
      </c>
      <c r="E19" s="17" t="str">
        <f t="shared" si="342"/>
        <v xml:space="preserve">13 Q4</v>
      </c>
      <c r="F19" s="17">
        <f t="shared" si="343"/>
        <v>65</v>
      </c>
      <c r="G19" s="14">
        <f t="shared" si="349"/>
        <v>37.819349576232902</v>
      </c>
      <c r="H19" s="14">
        <f t="shared" si="347"/>
        <v>2.17118179309431</v>
      </c>
      <c r="I19" s="14">
        <f t="shared" si="350"/>
        <v>14.7076730485326</v>
      </c>
      <c r="J19" s="14">
        <f t="shared" si="351"/>
        <v>48.526893035169998</v>
      </c>
    </row>
    <row r="20">
      <c r="E20" s="15" t="s">
        <v>260</v>
      </c>
      <c r="I20">
        <f t="shared" ref="I20:I23" si="352">I16</f>
        <v>-4.4572175726400198</v>
      </c>
      <c r="J20">
        <f t="shared" ref="J20:J23" si="353">$G$19+$H$19*(ROW(G20)-ROW($G$19))+I20</f>
        <v>35.533313796687203</v>
      </c>
    </row>
    <row r="21">
      <c r="E21" s="15" t="s">
        <v>261</v>
      </c>
      <c r="I21">
        <f t="shared" si="352"/>
        <v>2.0092938252975898</v>
      </c>
      <c r="J21">
        <f t="shared" si="353"/>
        <v>44.171006987719103</v>
      </c>
    </row>
    <row r="22">
      <c r="E22" s="15" t="s">
        <v>262</v>
      </c>
      <c r="I22">
        <f t="shared" si="352"/>
        <v>-7.9254765507936904</v>
      </c>
      <c r="J22">
        <f t="shared" si="353"/>
        <v>36.407418404722101</v>
      </c>
    </row>
    <row r="23">
      <c r="E23" s="17" t="s">
        <v>263</v>
      </c>
      <c r="F23" s="14"/>
      <c r="G23" s="14"/>
      <c r="H23" s="14"/>
      <c r="I23" s="14">
        <f t="shared" si="352"/>
        <v>14.7076730485326</v>
      </c>
      <c r="J23" s="14">
        <f t="shared" si="353"/>
        <v>61.211749797142801</v>
      </c>
    </row>
    <row r="25">
      <c r="F25" s="25" t="s">
        <v>203</v>
      </c>
      <c r="G25" s="25" t="s">
        <v>233</v>
      </c>
      <c r="H25" s="25" t="s">
        <v>182</v>
      </c>
      <c r="I25" s="25" t="s">
        <v>211</v>
      </c>
      <c r="J25" s="25" t="s">
        <v>212</v>
      </c>
      <c r="K25" s="25" t="s">
        <v>218</v>
      </c>
    </row>
    <row r="26">
      <c r="F26" s="22">
        <v>1.5532210781223499e-02</v>
      </c>
      <c r="G26" s="26">
        <v>1</v>
      </c>
      <c r="H26" s="23">
        <v>0.23088177040455662</v>
      </c>
      <c r="I26" s="22">
        <f>SUMPRODUCT(ABS(F8:F19-J8:J19))/COUNT(J8:J19)</f>
        <v>4.00447612413301</v>
      </c>
      <c r="J26" s="35">
        <f>SUMXMY2(F8:F19,J8:J19)/COUNT(J8:J19)</f>
        <v>33.864869070264902</v>
      </c>
      <c r="K26" s="23">
        <f>SUMPRODUCT(ABS(1-J8:J19/F8:F19))/COUNT(J8:J19)</f>
        <v>0.14359191865729001</v>
      </c>
    </row>
    <row r="27">
      <c r="G27" s="31" t="s">
        <v>268</v>
      </c>
      <c r="H27">
        <f>F26+H26</f>
        <v>0.24641398118578101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6339290000000002"/>
    <col customWidth="1" min="2" max="3" width="6.8125"/>
    <col customWidth="1" min="5" max="5" width="6.6339290000000002"/>
  </cols>
  <sheetData>
    <row r="1">
      <c r="A1" s="1" t="s">
        <v>272</v>
      </c>
    </row>
    <row r="3">
      <c r="A3" s="4" t="s">
        <v>206</v>
      </c>
      <c r="B3" s="4" t="s">
        <v>240</v>
      </c>
      <c r="C3" s="4" t="s">
        <v>207</v>
      </c>
      <c r="E3" t="s">
        <v>271</v>
      </c>
      <c r="J3" t="s">
        <v>230</v>
      </c>
      <c r="K3" s="18">
        <v>5.0000000000000003e-02</v>
      </c>
    </row>
    <row r="4">
      <c r="A4" s="15">
        <v>1</v>
      </c>
      <c r="B4" s="15" t="s">
        <v>242</v>
      </c>
      <c r="C4" s="15">
        <v>10</v>
      </c>
    </row>
    <row r="5">
      <c r="A5" s="15">
        <f t="shared" ref="A5:A10" si="354">A4+1</f>
        <v>2</v>
      </c>
      <c r="B5" s="15" t="s">
        <v>243</v>
      </c>
      <c r="C5" s="15">
        <v>14</v>
      </c>
      <c r="E5" s="24" t="str">
        <f t="shared" ref="E5:E11" si="355">B3</f>
        <v>qtr</v>
      </c>
      <c r="F5" s="24" t="str">
        <f t="shared" ref="F5:F11" si="356">C3</f>
        <v>y</v>
      </c>
      <c r="G5" s="24" t="s">
        <v>231</v>
      </c>
      <c r="H5" s="24" t="s">
        <v>232</v>
      </c>
      <c r="I5" s="24" t="s">
        <v>241</v>
      </c>
      <c r="J5" s="24" t="s">
        <v>193</v>
      </c>
      <c r="K5" s="24" t="s">
        <v>183</v>
      </c>
      <c r="L5" s="24" t="s">
        <v>215</v>
      </c>
      <c r="M5" s="24" t="s">
        <v>216</v>
      </c>
    </row>
    <row r="6">
      <c r="A6" s="15">
        <f t="shared" si="354"/>
        <v>3</v>
      </c>
      <c r="B6" s="15" t="s">
        <v>244</v>
      </c>
      <c r="C6" s="15">
        <v>8</v>
      </c>
      <c r="E6" t="str">
        <f t="shared" si="355"/>
        <v xml:space="preserve">10 Q1</v>
      </c>
      <c r="F6">
        <f t="shared" si="356"/>
        <v>10</v>
      </c>
      <c r="I6">
        <f t="shared" ref="I6:I9" si="357">F6-AVERAGE($F$6:$F$9)</f>
        <v>-4.25</v>
      </c>
    </row>
    <row r="7">
      <c r="A7" s="15">
        <f t="shared" si="354"/>
        <v>4</v>
      </c>
      <c r="B7" s="15" t="s">
        <v>245</v>
      </c>
      <c r="C7" s="15">
        <v>25</v>
      </c>
      <c r="E7" t="str">
        <f t="shared" si="355"/>
        <v xml:space="preserve">10 Q2</v>
      </c>
      <c r="F7">
        <f t="shared" si="356"/>
        <v>14</v>
      </c>
      <c r="I7">
        <f t="shared" si="357"/>
        <v>-0.25</v>
      </c>
    </row>
    <row r="8">
      <c r="A8" s="15">
        <f t="shared" si="354"/>
        <v>5</v>
      </c>
      <c r="B8" s="15" t="s">
        <v>246</v>
      </c>
      <c r="C8" s="15">
        <v>16</v>
      </c>
      <c r="E8" t="str">
        <f t="shared" si="355"/>
        <v xml:space="preserve">10 Q3</v>
      </c>
      <c r="F8">
        <f t="shared" si="356"/>
        <v>8</v>
      </c>
      <c r="I8">
        <f t="shared" si="357"/>
        <v>-6.25</v>
      </c>
    </row>
    <row r="9">
      <c r="A9" s="15">
        <f t="shared" si="354"/>
        <v>6</v>
      </c>
      <c r="B9" s="15" t="s">
        <v>247</v>
      </c>
      <c r="C9" s="15">
        <v>22</v>
      </c>
      <c r="E9" t="str">
        <f t="shared" si="355"/>
        <v xml:space="preserve">10 Q4</v>
      </c>
      <c r="F9">
        <f t="shared" si="356"/>
        <v>25</v>
      </c>
      <c r="G9">
        <f>F9-I9</f>
        <v>14.25</v>
      </c>
      <c r="H9">
        <f>(AVERAGE(F10:F13)-AVERAGE(F6:F9))/4</f>
        <v>1.875</v>
      </c>
      <c r="I9">
        <f t="shared" si="357"/>
        <v>10.75</v>
      </c>
    </row>
    <row r="10">
      <c r="A10" s="15">
        <f t="shared" si="354"/>
        <v>7</v>
      </c>
      <c r="B10" s="15" t="s">
        <v>248</v>
      </c>
      <c r="C10" s="15">
        <v>14</v>
      </c>
      <c r="E10" t="str">
        <f t="shared" si="355"/>
        <v xml:space="preserve">11 Q1</v>
      </c>
      <c r="F10">
        <f t="shared" si="356"/>
        <v>16</v>
      </c>
      <c r="G10">
        <f>$F$30*(F10-I6)+(1-$F$30)*(G9+H9)</f>
        <v>16.1890701983539</v>
      </c>
      <c r="H10">
        <f>$G$30*(G10-G9)+(1-$G$30)*H9</f>
        <v>1.9390701983539</v>
      </c>
      <c r="I10">
        <f t="shared" ref="I10:I13" si="358">$H$30*(F10-G10)+(1-$H$30)*I6</f>
        <v>-3.3124030167621101</v>
      </c>
      <c r="J10">
        <f>G9+H9+I6</f>
        <v>11.875</v>
      </c>
    </row>
    <row r="11">
      <c r="A11" s="15">
        <f t="shared" ref="A11:A19" si="359">A10+1</f>
        <v>8</v>
      </c>
      <c r="B11" s="15" t="s">
        <v>249</v>
      </c>
      <c r="C11" s="15">
        <v>35</v>
      </c>
      <c r="E11" t="str">
        <f t="shared" si="355"/>
        <v xml:space="preserve">11 Q2</v>
      </c>
      <c r="F11">
        <f t="shared" si="356"/>
        <v>22</v>
      </c>
      <c r="G11">
        <f t="shared" ref="G11:G13" si="360">$F$30*(F11-I7)+(1-$F$30)*(G10+H10)</f>
        <v>18.192161817888302</v>
      </c>
      <c r="H11">
        <f t="shared" ref="H11:H21" si="361">$G$30*(G11-G10)+(1-$G$30)*H10</f>
        <v>2.0030916195344002</v>
      </c>
      <c r="I11">
        <f t="shared" si="358"/>
        <v>0.68688318287927097</v>
      </c>
      <c r="J11">
        <f t="shared" ref="J11:J13" si="362">G10+H10+I7</f>
        <v>17.878140396707799</v>
      </c>
      <c r="K11">
        <f t="shared" ref="K11:K22" si="363">SQRT(SUMXMY2(F$10:F10,J$10:J10)/COUNT(J$10:J10))</f>
        <v>4.125</v>
      </c>
      <c r="L11">
        <f t="shared" ref="L11:L27" si="364">J11-_xlfn.NORM.S.INV(1-K$3/2)*K11</f>
        <v>9.7932893589968799</v>
      </c>
      <c r="M11">
        <f t="shared" ref="M11:M27" si="365">J11+_xlfn.NORM.S.INV(1-K$3/2)*K11</f>
        <v>25.962991434418701</v>
      </c>
    </row>
    <row r="12">
      <c r="A12" s="15">
        <f t="shared" si="359"/>
        <v>9</v>
      </c>
      <c r="B12" s="15" t="s">
        <v>250</v>
      </c>
      <c r="C12" s="15">
        <v>15</v>
      </c>
      <c r="E12" t="str">
        <f t="shared" ref="E12:E21" si="366">B10</f>
        <v xml:space="preserve">11 Q3</v>
      </c>
      <c r="F12">
        <f t="shared" ref="F12:F21" si="367">C10</f>
        <v>14</v>
      </c>
      <c r="G12">
        <f t="shared" si="360"/>
        <v>20.1961037703011</v>
      </c>
      <c r="H12">
        <f t="shared" si="361"/>
        <v>2.0039419524127999</v>
      </c>
      <c r="I12">
        <f t="shared" si="358"/>
        <v>-6.2375563122629902</v>
      </c>
      <c r="J12">
        <f t="shared" si="362"/>
        <v>13.9452534374227</v>
      </c>
      <c r="K12">
        <f t="shared" si="363"/>
        <v>4.1234301006111496</v>
      </c>
      <c r="L12">
        <f t="shared" si="364"/>
        <v>5.8634793458216103</v>
      </c>
      <c r="M12">
        <f t="shared" si="365"/>
        <v>22.027027529023801</v>
      </c>
    </row>
    <row r="13">
      <c r="A13" s="15">
        <f t="shared" si="359"/>
        <v>10</v>
      </c>
      <c r="B13" s="15" t="s">
        <v>251</v>
      </c>
      <c r="C13" s="15">
        <v>27</v>
      </c>
      <c r="E13" t="str">
        <f t="shared" si="366"/>
        <v xml:space="preserve">11 Q4</v>
      </c>
      <c r="F13">
        <f t="shared" si="367"/>
        <v>35</v>
      </c>
      <c r="G13">
        <f t="shared" si="360"/>
        <v>22.231885959601701</v>
      </c>
      <c r="H13">
        <f t="shared" si="361"/>
        <v>2.0357821893005998</v>
      </c>
      <c r="I13">
        <f t="shared" si="358"/>
        <v>11.2159468960386</v>
      </c>
      <c r="J13">
        <f t="shared" si="362"/>
        <v>32.950045722713902</v>
      </c>
      <c r="K13">
        <f t="shared" si="363"/>
        <v>3.36691494672132</v>
      </c>
      <c r="L13">
        <f t="shared" si="364"/>
        <v>26.351014013408601</v>
      </c>
      <c r="M13">
        <f t="shared" si="365"/>
        <v>39.549077432019203</v>
      </c>
    </row>
    <row r="14">
      <c r="A14" s="15">
        <f t="shared" si="359"/>
        <v>11</v>
      </c>
      <c r="B14" s="15" t="s">
        <v>252</v>
      </c>
      <c r="C14" s="15">
        <v>18</v>
      </c>
      <c r="E14" t="str">
        <f t="shared" si="366"/>
        <v xml:space="preserve">12 Q1</v>
      </c>
      <c r="F14">
        <f t="shared" si="367"/>
        <v>15</v>
      </c>
      <c r="G14">
        <f t="shared" ref="G14:G21" si="368">$F$30*(F14-I10)+(1-$F$30)*(G13+H13)</f>
        <v>24.175169962656</v>
      </c>
      <c r="H14">
        <f t="shared" si="361"/>
        <v>1.9432840030542999</v>
      </c>
      <c r="I14">
        <f t="shared" ref="I14:I21" si="369">$H$30*(F14-G14)+(1-$H$30)*I10</f>
        <v>-4.66601237973825</v>
      </c>
      <c r="J14">
        <f t="shared" ref="J14:J21" si="370">G13+H13+I10</f>
        <v>20.955265132140202</v>
      </c>
      <c r="K14">
        <f t="shared" si="363"/>
        <v>3.0907386380252899</v>
      </c>
      <c r="L14">
        <f t="shared" si="364"/>
        <v>14.897529014580901</v>
      </c>
      <c r="M14">
        <f t="shared" si="365"/>
        <v>27.013001249699499</v>
      </c>
    </row>
    <row r="15">
      <c r="A15" s="15">
        <f t="shared" si="359"/>
        <v>12</v>
      </c>
      <c r="B15" s="15" t="s">
        <v>253</v>
      </c>
      <c r="C15" s="15">
        <v>40</v>
      </c>
      <c r="E15" t="str">
        <f t="shared" si="366"/>
        <v xml:space="preserve">12 Q2</v>
      </c>
      <c r="F15">
        <f t="shared" si="367"/>
        <v>27</v>
      </c>
      <c r="G15">
        <f t="shared" si="368"/>
        <v>26.121477502074399</v>
      </c>
      <c r="H15">
        <f t="shared" si="361"/>
        <v>1.9463075394184</v>
      </c>
      <c r="I15">
        <f t="shared" si="369"/>
        <v>0.73112931675343495</v>
      </c>
      <c r="J15">
        <f t="shared" si="370"/>
        <v>26.805337148589601</v>
      </c>
      <c r="K15">
        <f t="shared" si="363"/>
        <v>3.8386415333660602</v>
      </c>
      <c r="L15">
        <f t="shared" si="364"/>
        <v>19.281738364484202</v>
      </c>
      <c r="M15">
        <f t="shared" si="365"/>
        <v>34.328935932695003</v>
      </c>
    </row>
    <row r="16">
      <c r="A16" s="15">
        <f t="shared" si="359"/>
        <v>13</v>
      </c>
      <c r="B16" s="15" t="s">
        <v>254</v>
      </c>
      <c r="C16" s="15">
        <v>28</v>
      </c>
      <c r="E16" t="str">
        <f t="shared" si="366"/>
        <v xml:space="preserve">12 Q3</v>
      </c>
      <c r="F16">
        <f t="shared" si="367"/>
        <v>18</v>
      </c>
      <c r="G16">
        <f t="shared" si="368"/>
        <v>28.008293280420698</v>
      </c>
      <c r="H16">
        <f t="shared" si="361"/>
        <v>1.8868157783463</v>
      </c>
      <c r="I16">
        <f t="shared" si="369"/>
        <v>-7.1081528944780299</v>
      </c>
      <c r="J16">
        <f t="shared" si="370"/>
        <v>21.830228729229798</v>
      </c>
      <c r="K16">
        <f t="shared" si="363"/>
        <v>3.5050852993456498</v>
      </c>
      <c r="L16">
        <f t="shared" si="364"/>
        <v>14.960388118398299</v>
      </c>
      <c r="M16">
        <f t="shared" si="365"/>
        <v>28.700069340061301</v>
      </c>
    </row>
    <row r="17">
      <c r="A17" s="15">
        <f t="shared" si="359"/>
        <v>14</v>
      </c>
      <c r="B17" s="15" t="s">
        <v>255</v>
      </c>
      <c r="C17" s="15">
        <v>40</v>
      </c>
      <c r="E17" t="str">
        <f t="shared" si="366"/>
        <v xml:space="preserve">12 Q4</v>
      </c>
      <c r="F17">
        <f t="shared" si="367"/>
        <v>40</v>
      </c>
      <c r="G17">
        <f t="shared" si="368"/>
        <v>29.8778519495776</v>
      </c>
      <c r="H17">
        <f t="shared" si="361"/>
        <v>1.8695586691568999</v>
      </c>
      <c r="I17">
        <f t="shared" si="369"/>
        <v>10.963408056903001</v>
      </c>
      <c r="J17">
        <f t="shared" si="370"/>
        <v>41.1110559548056</v>
      </c>
      <c r="K17">
        <f t="shared" si="363"/>
        <v>3.55335635807594</v>
      </c>
      <c r="L17">
        <f t="shared" si="364"/>
        <v>34.1466058120306</v>
      </c>
      <c r="M17">
        <f t="shared" si="365"/>
        <v>48.0755060975806</v>
      </c>
    </row>
    <row r="18">
      <c r="A18" s="15">
        <f t="shared" si="359"/>
        <v>15</v>
      </c>
      <c r="B18" s="15" t="s">
        <v>256</v>
      </c>
      <c r="C18" s="15">
        <v>25</v>
      </c>
      <c r="E18" t="str">
        <f t="shared" si="366"/>
        <v xml:space="preserve">13 Q1</v>
      </c>
      <c r="F18">
        <f t="shared" si="367"/>
        <v>28</v>
      </c>
      <c r="G18">
        <f t="shared" si="368"/>
        <v>31.7616784968038</v>
      </c>
      <c r="H18">
        <f t="shared" si="361"/>
        <v>1.8838265472261999</v>
      </c>
      <c r="I18">
        <f t="shared" si="369"/>
        <v>-4.4572176549105897</v>
      </c>
      <c r="J18">
        <f t="shared" si="370"/>
        <v>27.0813982389963</v>
      </c>
      <c r="K18">
        <f t="shared" si="363"/>
        <v>3.3469918431903198</v>
      </c>
      <c r="L18">
        <f t="shared" si="364"/>
        <v>20.521415093147301</v>
      </c>
      <c r="M18">
        <f t="shared" si="365"/>
        <v>33.641381384845303</v>
      </c>
    </row>
    <row r="19">
      <c r="A19" s="17">
        <f t="shared" si="359"/>
        <v>16</v>
      </c>
      <c r="B19" s="17" t="s">
        <v>257</v>
      </c>
      <c r="C19" s="17">
        <v>65</v>
      </c>
      <c r="E19" t="str">
        <f t="shared" si="366"/>
        <v xml:space="preserve">13 Q2</v>
      </c>
      <c r="F19">
        <f t="shared" si="367"/>
        <v>40</v>
      </c>
      <c r="G19">
        <f t="shared" si="368"/>
        <v>33.732848111162397</v>
      </c>
      <c r="H19">
        <f t="shared" si="361"/>
        <v>1.9711696143585999</v>
      </c>
      <c r="I19">
        <f t="shared" si="369"/>
        <v>2.0092991734741901</v>
      </c>
      <c r="J19">
        <f t="shared" si="370"/>
        <v>34.376634360783399</v>
      </c>
      <c r="K19">
        <f t="shared" si="363"/>
        <v>3.17039542543161</v>
      </c>
      <c r="L19">
        <f t="shared" si="364"/>
        <v>28.162773816479199</v>
      </c>
      <c r="M19">
        <f t="shared" si="365"/>
        <v>40.590494905087603</v>
      </c>
    </row>
    <row r="20">
      <c r="E20" t="str">
        <f t="shared" si="366"/>
        <v xml:space="preserve">13 Q3</v>
      </c>
      <c r="F20">
        <f t="shared" si="367"/>
        <v>25</v>
      </c>
      <c r="G20">
        <f t="shared" si="368"/>
        <v>35.648166144192899</v>
      </c>
      <c r="H20">
        <f t="shared" si="361"/>
        <v>1.9153180330305</v>
      </c>
      <c r="I20">
        <f t="shared" si="369"/>
        <v>-7.9254794442276602</v>
      </c>
      <c r="J20">
        <f t="shared" si="370"/>
        <v>28.595864831042999</v>
      </c>
      <c r="K20">
        <f t="shared" si="363"/>
        <v>3.4940650465425098</v>
      </c>
      <c r="L20">
        <f t="shared" si="364"/>
        <v>21.747623517741498</v>
      </c>
      <c r="M20">
        <f t="shared" si="365"/>
        <v>35.444106144344502</v>
      </c>
    </row>
    <row r="21">
      <c r="E21" s="14" t="str">
        <f t="shared" si="366"/>
        <v xml:space="preserve">13 Q4</v>
      </c>
      <c r="F21" s="14">
        <f t="shared" si="367"/>
        <v>65</v>
      </c>
      <c r="G21" s="14">
        <f t="shared" si="368"/>
        <v>37.819347275905699</v>
      </c>
      <c r="H21" s="14">
        <f t="shared" si="361"/>
        <v>2.1711811317128</v>
      </c>
      <c r="I21" s="14">
        <f t="shared" si="369"/>
        <v>14.707683486196601</v>
      </c>
      <c r="J21" s="14">
        <f t="shared" si="370"/>
        <v>48.5268922341264</v>
      </c>
      <c r="K21" s="14">
        <f t="shared" si="363"/>
        <v>3.5034418061235</v>
      </c>
      <c r="L21" s="14">
        <f t="shared" si="364"/>
        <v>41.660272810660402</v>
      </c>
      <c r="M21" s="14">
        <f t="shared" si="365"/>
        <v>55.393511657592398</v>
      </c>
    </row>
    <row r="22">
      <c r="E22" t="s">
        <v>260</v>
      </c>
      <c r="I22">
        <f t="shared" ref="I22:I27" si="371">I18</f>
        <v>-4.4572176549105897</v>
      </c>
      <c r="J22">
        <f t="shared" ref="J22:J27" si="372">$G$21+$H$21*(ROW(G22)-ROW($G$21))+I22</f>
        <v>35.533310752707898</v>
      </c>
      <c r="K22">
        <f t="shared" si="363"/>
        <v>5.8193529769491104</v>
      </c>
      <c r="L22">
        <f t="shared" si="364"/>
        <v>24.127589066770199</v>
      </c>
      <c r="M22">
        <f t="shared" si="365"/>
        <v>46.939032438645597</v>
      </c>
    </row>
    <row r="23">
      <c r="E23" t="s">
        <v>261</v>
      </c>
      <c r="I23">
        <f t="shared" si="371"/>
        <v>2.0092991734741901</v>
      </c>
      <c r="J23">
        <f t="shared" si="372"/>
        <v>44.171008712805502</v>
      </c>
      <c r="K23">
        <f t="shared" ref="K23:K25" si="373">K$22*SQRT((K22/K$22)^2-1+(F$30*(1+(ROW(J23)-ROW(J$22))*G$30))^2+1)</f>
        <v>5.8221601177233904</v>
      </c>
      <c r="L23">
        <f t="shared" si="364"/>
        <v>32.759785132321802</v>
      </c>
      <c r="M23">
        <f t="shared" si="365"/>
        <v>55.582232293289202</v>
      </c>
    </row>
    <row r="24">
      <c r="E24" t="s">
        <v>262</v>
      </c>
      <c r="I24">
        <f t="shared" si="371"/>
        <v>-7.9254794442276602</v>
      </c>
      <c r="J24">
        <f t="shared" si="372"/>
        <v>36.4074112268164</v>
      </c>
      <c r="K24">
        <f t="shared" si="373"/>
        <v>5.8284712412513802</v>
      </c>
      <c r="L24">
        <f t="shared" si="364"/>
        <v>24.983818072125601</v>
      </c>
      <c r="M24">
        <f t="shared" si="365"/>
        <v>47.831004381507199</v>
      </c>
    </row>
    <row r="25">
      <c r="E25" t="s">
        <v>263</v>
      </c>
      <c r="I25">
        <f t="shared" si="371"/>
        <v>14.707683486196601</v>
      </c>
      <c r="J25">
        <f t="shared" si="372"/>
        <v>61.211755288953498</v>
      </c>
      <c r="K25">
        <f t="shared" si="373"/>
        <v>5.8396741753649302</v>
      </c>
      <c r="L25">
        <f t="shared" si="364"/>
        <v>49.7662047879613</v>
      </c>
      <c r="M25">
        <f t="shared" si="365"/>
        <v>72.657305789945696</v>
      </c>
    </row>
    <row r="26">
      <c r="E26" t="s">
        <v>273</v>
      </c>
      <c r="I26">
        <f t="shared" si="371"/>
        <v>-4.4572176549105897</v>
      </c>
      <c r="J26">
        <f t="shared" si="372"/>
        <v>44.218035279559103</v>
      </c>
      <c r="K26">
        <f>K$22*SQRT((K25/K$22)^2-1+(F$30*(1+(ROW(J26)-ROW(J$22))*G$30+(1-F$30)*H$30))^2+1)</f>
        <v>5.85875689358725</v>
      </c>
      <c r="L26">
        <f t="shared" si="364"/>
        <v>32.735083339967602</v>
      </c>
      <c r="M26">
        <f t="shared" si="365"/>
        <v>55.700987219150598</v>
      </c>
    </row>
    <row r="27">
      <c r="E27" t="s">
        <v>274</v>
      </c>
      <c r="I27">
        <f t="shared" si="371"/>
        <v>2.0092991734741901</v>
      </c>
      <c r="J27">
        <f t="shared" si="372"/>
        <v>52.855733239656701</v>
      </c>
      <c r="K27">
        <f>K$22*SQRT((K26/K$22)^2-1+(F$30*(1+(ROW(J27)-ROW(J$22))*G$30))^2+1)</f>
        <v>5.8838037554711899</v>
      </c>
      <c r="L27">
        <f t="shared" si="364"/>
        <v>41.323690355266699</v>
      </c>
      <c r="M27">
        <f t="shared" si="365"/>
        <v>64.387776124046695</v>
      </c>
    </row>
    <row r="29">
      <c r="F29" s="25" t="s">
        <v>203</v>
      </c>
      <c r="G29" s="25" t="s">
        <v>233</v>
      </c>
      <c r="H29" s="25" t="s">
        <v>182</v>
      </c>
      <c r="I29" s="25" t="s">
        <v>211</v>
      </c>
      <c r="J29" s="25" t="s">
        <v>212</v>
      </c>
      <c r="K29" s="25" t="s">
        <v>218</v>
      </c>
    </row>
    <row r="30">
      <c r="F30" s="22">
        <v>1.5532169297905839e-02</v>
      </c>
      <c r="G30" s="26">
        <v>1</v>
      </c>
      <c r="H30" s="23">
        <v>0.23088234198430166</v>
      </c>
      <c r="I30" s="22">
        <f>SUMPRODUCT(ABS(F10:F21-J10:J21))/COUNT(J10:J21)</f>
        <v>4.0044760923232099</v>
      </c>
      <c r="J30" s="35">
        <f>SUMXMY2(F10:F21,J10:J21)/COUNT(J10:J21)</f>
        <v>33.864869070326499</v>
      </c>
      <c r="K30" s="23">
        <f>SUMPRODUCT(ABS(1-J10:J21/F10:F21))/COUNT(J10:J21)</f>
        <v>0.14359191727826101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275</v>
      </c>
    </row>
    <row r="2" ht="15" customHeight="1"/>
    <row r="3">
      <c r="A3" s="4" t="s">
        <v>276</v>
      </c>
      <c r="B3" s="4" t="s">
        <v>277</v>
      </c>
      <c r="L3" s="4" t="s">
        <v>276</v>
      </c>
      <c r="M3" s="4" t="s">
        <v>277</v>
      </c>
      <c r="N3" s="4" t="s">
        <v>278</v>
      </c>
    </row>
    <row r="4">
      <c r="A4" s="36">
        <v>37165</v>
      </c>
      <c r="B4" s="37">
        <v>16272.01</v>
      </c>
      <c r="L4" s="36">
        <v>37165</v>
      </c>
      <c r="M4" s="37">
        <v>16272.01</v>
      </c>
    </row>
    <row r="5">
      <c r="A5" s="36">
        <v>37530</v>
      </c>
      <c r="B5" s="37">
        <v>16472.369999999999</v>
      </c>
      <c r="L5" s="36">
        <v>37530</v>
      </c>
      <c r="M5" s="37">
        <v>16472.369999999999</v>
      </c>
      <c r="N5" s="37">
        <f t="shared" ref="N5:N9" si="374">M5-M4</f>
        <v>200.35999999999899</v>
      </c>
    </row>
    <row r="6">
      <c r="A6" s="36">
        <v>38626</v>
      </c>
      <c r="B6" s="37">
        <v>16776.43</v>
      </c>
      <c r="L6" s="36">
        <v>38626</v>
      </c>
      <c r="M6" s="37">
        <v>16776.43</v>
      </c>
      <c r="N6" s="37">
        <f t="shared" si="374"/>
        <v>304.06000000000103</v>
      </c>
    </row>
    <row r="7">
      <c r="A7" s="36">
        <v>38991</v>
      </c>
      <c r="B7" s="37">
        <v>16790.189999999995</v>
      </c>
      <c r="L7" s="36">
        <v>38991</v>
      </c>
      <c r="M7" s="37">
        <v>16790.189999999995</v>
      </c>
      <c r="N7" s="37">
        <f t="shared" si="374"/>
        <v>13.759999999998399</v>
      </c>
    </row>
    <row r="8">
      <c r="A8" s="36">
        <v>39356</v>
      </c>
      <c r="B8" s="37">
        <v>16912.290000000001</v>
      </c>
      <c r="L8" s="36">
        <v>39356</v>
      </c>
      <c r="M8" s="37">
        <v>16912.290000000001</v>
      </c>
      <c r="N8" s="37">
        <f t="shared" si="374"/>
        <v>122.100000000002</v>
      </c>
    </row>
    <row r="9">
      <c r="A9" s="36">
        <v>39722</v>
      </c>
      <c r="B9" s="37">
        <v>17050.75</v>
      </c>
      <c r="L9" s="36">
        <v>39722</v>
      </c>
      <c r="M9" s="37">
        <v>17050.75</v>
      </c>
      <c r="N9" s="37">
        <f t="shared" si="374"/>
        <v>138.45999999999901</v>
      </c>
    </row>
    <row r="10">
      <c r="A10" s="36">
        <v>40087</v>
      </c>
      <c r="B10" s="37">
        <v>17084.490000000002</v>
      </c>
      <c r="L10" s="36">
        <v>40087</v>
      </c>
      <c r="M10" s="37">
        <v>17084.490000000002</v>
      </c>
      <c r="N10" s="37">
        <f>M10-M9</f>
        <v>33.740000000001601</v>
      </c>
    </row>
    <row r="11">
      <c r="A11" s="36">
        <v>41183</v>
      </c>
      <c r="B11" s="37">
        <v>17131.860000000001</v>
      </c>
      <c r="L11" s="36">
        <v>41183</v>
      </c>
      <c r="M11" s="37">
        <v>17131.860000000001</v>
      </c>
      <c r="N11" s="37">
        <f t="shared" ref="N11:N25" si="375">M11-M10</f>
        <v>47.369999999999003</v>
      </c>
    </row>
    <row r="12">
      <c r="A12" s="36">
        <v>41548</v>
      </c>
      <c r="B12" s="37">
        <v>17081.889999999999</v>
      </c>
      <c r="L12" s="36">
        <v>41548</v>
      </c>
      <c r="M12" s="37">
        <v>17081.889999999999</v>
      </c>
      <c r="N12" s="37">
        <f t="shared" si="375"/>
        <v>-49.9700000000012</v>
      </c>
    </row>
    <row r="13">
      <c r="A13" s="36">
        <v>41913</v>
      </c>
      <c r="B13" s="37">
        <v>16924.75</v>
      </c>
      <c r="L13" s="36">
        <v>41913</v>
      </c>
      <c r="M13" s="37">
        <v>16924.75</v>
      </c>
      <c r="N13" s="37">
        <f t="shared" si="375"/>
        <v>-157.13999999999899</v>
      </c>
    </row>
    <row r="14">
      <c r="A14" s="36">
        <v>42278</v>
      </c>
      <c r="B14" s="37">
        <v>17141.75</v>
      </c>
      <c r="L14" s="36">
        <v>42278</v>
      </c>
      <c r="M14" s="37">
        <v>17141.75</v>
      </c>
      <c r="N14" s="37">
        <f t="shared" si="375"/>
        <v>217</v>
      </c>
    </row>
    <row r="15">
      <c r="A15" s="36">
        <v>42644</v>
      </c>
      <c r="B15" s="37">
        <v>17215.970000000001</v>
      </c>
      <c r="L15" s="36">
        <v>42644</v>
      </c>
      <c r="M15" s="37">
        <v>17215.970000000001</v>
      </c>
      <c r="N15" s="37">
        <f t="shared" si="375"/>
        <v>74.220000000001207</v>
      </c>
    </row>
    <row r="16">
      <c r="A16" s="36">
        <v>43739</v>
      </c>
      <c r="B16" s="37">
        <v>17230.540000000001</v>
      </c>
      <c r="L16" s="36">
        <v>43739</v>
      </c>
      <c r="M16" s="37">
        <v>17230.540000000001</v>
      </c>
      <c r="N16" s="37">
        <f t="shared" si="375"/>
        <v>14.5699999999997</v>
      </c>
    </row>
    <row r="17">
      <c r="A17" s="36">
        <v>44105</v>
      </c>
      <c r="B17" s="37">
        <v>17217.110000000001</v>
      </c>
      <c r="L17" s="36">
        <v>44105</v>
      </c>
      <c r="M17" s="37">
        <v>17217.110000000001</v>
      </c>
      <c r="N17" s="37">
        <f t="shared" si="375"/>
        <v>-13.4300000000003</v>
      </c>
    </row>
    <row r="18">
      <c r="A18" s="36">
        <v>44470</v>
      </c>
      <c r="B18" s="37">
        <v>17168.610000000001</v>
      </c>
      <c r="L18" s="36">
        <v>44470</v>
      </c>
      <c r="M18" s="37">
        <v>17168.610000000001</v>
      </c>
      <c r="N18" s="37">
        <f t="shared" si="375"/>
        <v>-48.5</v>
      </c>
    </row>
    <row r="19">
      <c r="A19" s="36">
        <v>44835</v>
      </c>
      <c r="B19" s="37">
        <v>17489.16</v>
      </c>
      <c r="L19" s="36">
        <v>44835</v>
      </c>
      <c r="M19" s="37">
        <v>17489.16</v>
      </c>
      <c r="N19" s="37">
        <f t="shared" si="375"/>
        <v>320.54999999999899</v>
      </c>
    </row>
    <row r="20">
      <c r="A20" s="36">
        <v>45200</v>
      </c>
      <c r="B20" s="37">
        <v>17646.700000000001</v>
      </c>
      <c r="L20" s="36">
        <v>45200</v>
      </c>
      <c r="M20" s="37">
        <v>17646.700000000001</v>
      </c>
      <c r="N20" s="37">
        <f t="shared" si="375"/>
        <v>157.54000000000099</v>
      </c>
    </row>
    <row r="21">
      <c r="A21" s="36">
        <v>46296</v>
      </c>
      <c r="B21" s="37">
        <v>17623.049999999999</v>
      </c>
      <c r="L21" s="36">
        <v>46296</v>
      </c>
      <c r="M21" s="37">
        <v>17623.049999999999</v>
      </c>
      <c r="N21" s="37">
        <f t="shared" si="375"/>
        <v>-23.650000000001501</v>
      </c>
    </row>
    <row r="22">
      <c r="A22" s="36">
        <v>46661</v>
      </c>
      <c r="B22" s="37">
        <v>17581.43</v>
      </c>
      <c r="L22" s="36">
        <v>46661</v>
      </c>
      <c r="M22" s="37">
        <v>17581.43</v>
      </c>
      <c r="N22" s="37">
        <f t="shared" si="375"/>
        <v>-41.619999999999003</v>
      </c>
    </row>
    <row r="23">
      <c r="A23" s="36">
        <v>47027</v>
      </c>
      <c r="B23" s="37">
        <v>17779.52</v>
      </c>
      <c r="L23" s="36">
        <v>47027</v>
      </c>
      <c r="M23" s="37">
        <v>17779.52</v>
      </c>
      <c r="N23" s="37">
        <f t="shared" si="375"/>
        <v>198.09</v>
      </c>
    </row>
    <row r="24">
      <c r="A24" s="36">
        <v>47392</v>
      </c>
      <c r="B24" s="37">
        <v>17755.799999999999</v>
      </c>
      <c r="L24" s="36">
        <v>47392</v>
      </c>
      <c r="M24" s="37">
        <v>17755.799999999999</v>
      </c>
      <c r="N24" s="37">
        <f t="shared" si="375"/>
        <v>-23.7200000000012</v>
      </c>
    </row>
    <row r="25">
      <c r="A25" s="38">
        <v>11232</v>
      </c>
      <c r="B25" s="39">
        <v>17663.540000000001</v>
      </c>
      <c r="L25" s="38">
        <v>11232</v>
      </c>
      <c r="M25" s="39">
        <v>17663.540000000001</v>
      </c>
      <c r="N25" s="39">
        <f t="shared" si="375"/>
        <v>-92.259999999998399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6" max="6" width="4"/>
    <col customWidth="1" min="7" max="7" width="37.455356999999999"/>
  </cols>
  <sheetData>
    <row r="1">
      <c r="A1" s="1" t="s">
        <v>279</v>
      </c>
    </row>
    <row r="3">
      <c r="A3" s="4" t="s">
        <v>206</v>
      </c>
      <c r="B3" s="4" t="s">
        <v>207</v>
      </c>
    </row>
    <row r="4" ht="15" customHeight="1">
      <c r="A4" s="15">
        <v>1</v>
      </c>
      <c r="B4" s="27">
        <v>23.399999999999999</v>
      </c>
      <c r="D4" t="s">
        <v>280</v>
      </c>
      <c r="E4" s="7" t="e">
        <v>#NAME?</v>
      </c>
      <c r="G4" s="20" t="s">
        <v>281</v>
      </c>
    </row>
    <row r="5" ht="15" customHeight="1">
      <c r="A5" s="15">
        <f t="shared" ref="A5:A10" si="376">A4+1</f>
        <v>2</v>
      </c>
      <c r="B5" s="27">
        <v>24.100000000000001</v>
      </c>
      <c r="D5" t="s">
        <v>282</v>
      </c>
      <c r="E5" s="13">
        <f>CORREL(B4:B21,B6:B23)</f>
        <v>0.33869118001727</v>
      </c>
      <c r="G5" t="e">
        <v>#NAME?</v>
      </c>
    </row>
    <row r="6">
      <c r="A6" s="15">
        <f t="shared" si="376"/>
        <v>3</v>
      </c>
      <c r="B6" s="27">
        <v>44.399999999999999</v>
      </c>
    </row>
    <row r="7">
      <c r="A7" s="15">
        <f t="shared" si="376"/>
        <v>4</v>
      </c>
      <c r="B7" s="27">
        <v>25.5</v>
      </c>
      <c r="D7" t="s">
        <v>283</v>
      </c>
      <c r="E7" s="40">
        <f>AVERAGE(B4:B23)</f>
        <v>49.914999999999999</v>
      </c>
      <c r="G7" t="e">
        <v>#NAME?</v>
      </c>
    </row>
    <row r="8" ht="15" customHeight="1">
      <c r="A8" s="15">
        <f t="shared" si="376"/>
        <v>5</v>
      </c>
      <c r="B8" s="27">
        <v>19.199999999999999</v>
      </c>
      <c r="D8" t="s">
        <v>284</v>
      </c>
      <c r="E8" s="10">
        <f>VARP(B4:B23)</f>
        <v>564.36727499999995</v>
      </c>
      <c r="G8" s="20" t="s">
        <v>285</v>
      </c>
    </row>
    <row r="9">
      <c r="A9" s="15">
        <f t="shared" si="376"/>
        <v>6</v>
      </c>
      <c r="B9" s="27">
        <v>37.100000000000001</v>
      </c>
      <c r="D9" t="s">
        <v>286</v>
      </c>
      <c r="E9" s="10">
        <f>DEVSQ(B4:B23)</f>
        <v>11287.345499999999</v>
      </c>
      <c r="G9" t="e">
        <v>#NAME?</v>
      </c>
    </row>
    <row r="10">
      <c r="A10" s="15">
        <f t="shared" si="376"/>
        <v>7</v>
      </c>
      <c r="B10" s="27">
        <v>45</v>
      </c>
      <c r="D10" t="s">
        <v>176</v>
      </c>
      <c r="E10" s="10">
        <f>COUNT(B4:B23)</f>
        <v>20</v>
      </c>
      <c r="G10" t="e">
        <v>#NAME?</v>
      </c>
    </row>
    <row r="11" ht="15" customHeight="1">
      <c r="A11" s="15">
        <f t="shared" ref="A11:A23" si="377">A10+1</f>
        <v>8</v>
      </c>
      <c r="B11" s="27">
        <v>61.799999999999997</v>
      </c>
      <c r="D11" t="s">
        <v>280</v>
      </c>
      <c r="E11" s="10">
        <f>SUMPRODUCT(B4:B21-E7,B6:B23-E7)/E10</f>
        <v>151.94012749999999</v>
      </c>
      <c r="G11" t="e">
        <v>#NAME?</v>
      </c>
    </row>
    <row r="12" ht="15" customHeight="1">
      <c r="A12" s="15">
        <f t="shared" si="377"/>
        <v>9</v>
      </c>
      <c r="B12" s="27">
        <v>56.700000000000003</v>
      </c>
      <c r="D12" t="s">
        <v>282</v>
      </c>
      <c r="E12" s="13">
        <f>E11/E8</f>
        <v>0.26922207262991998</v>
      </c>
      <c r="G12" t="e">
        <v>#NAME?</v>
      </c>
    </row>
    <row r="13">
      <c r="A13" s="15">
        <f t="shared" si="377"/>
        <v>10</v>
      </c>
      <c r="B13" s="27">
        <v>62.299999999999997</v>
      </c>
      <c r="G13" s="20" t="s">
        <v>287</v>
      </c>
    </row>
    <row r="14">
      <c r="A14" s="15">
        <f t="shared" si="377"/>
        <v>11</v>
      </c>
      <c r="B14" s="27">
        <v>30.899999999999999</v>
      </c>
    </row>
    <row r="15">
      <c r="A15" s="15">
        <f t="shared" si="377"/>
        <v>12</v>
      </c>
      <c r="B15" s="27">
        <v>69.599999999999994</v>
      </c>
    </row>
    <row r="16">
      <c r="A16" s="15">
        <f t="shared" si="377"/>
        <v>13</v>
      </c>
      <c r="B16" s="27">
        <v>11</v>
      </c>
    </row>
    <row r="17">
      <c r="A17" s="15">
        <f t="shared" si="377"/>
        <v>14</v>
      </c>
      <c r="B17" s="27">
        <v>56.600000000000001</v>
      </c>
    </row>
    <row r="18">
      <c r="A18" s="15">
        <f t="shared" si="377"/>
        <v>15</v>
      </c>
      <c r="B18" s="27">
        <v>83.400000000000006</v>
      </c>
    </row>
    <row r="19">
      <c r="A19" s="15">
        <f t="shared" si="377"/>
        <v>16</v>
      </c>
      <c r="B19" s="27">
        <v>33.899999999999999</v>
      </c>
    </row>
    <row r="20">
      <c r="A20" s="15">
        <f t="shared" si="377"/>
        <v>17</v>
      </c>
      <c r="B20" s="27">
        <v>75.5</v>
      </c>
    </row>
    <row r="21">
      <c r="A21" s="15">
        <f t="shared" si="377"/>
        <v>18</v>
      </c>
      <c r="B21" s="27">
        <v>87.299999999999983</v>
      </c>
    </row>
    <row r="22">
      <c r="A22" s="15">
        <f t="shared" si="377"/>
        <v>19</v>
      </c>
      <c r="B22" s="27">
        <v>55.399999999999999</v>
      </c>
    </row>
    <row r="23">
      <c r="A23" s="17">
        <f t="shared" si="377"/>
        <v>20</v>
      </c>
      <c r="B23" s="41">
        <v>95.200000000000003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6" zoomScale="96" workbookViewId="0">
      <selection activeCell="B4" activeCellId="0" sqref="B4:B25"/>
    </sheetView>
  </sheetViews>
  <sheetFormatPr defaultRowHeight="14.25"/>
  <cols>
    <col customWidth="1" min="1" max="1" width="11.267856999999999"/>
    <col customWidth="1" min="2" max="2" width="9.5446430000000007"/>
    <col customWidth="1" min="3" max="3" width="5.1785709999999998"/>
    <col customWidth="1" min="4" max="4" width="8"/>
    <col customWidth="1" min="17" max="17" width="3.723214"/>
    <col customWidth="1" min="18" max="18" width="27.178571000000002"/>
    <col customWidth="1" min="19" max="19" width="5.7232139999999996"/>
    <col customWidth="1" min="20" max="20" width="7.2678570000000002"/>
    <col customWidth="1" min="21" max="21" width="9.1785709999999998"/>
    <col customWidth="1" min="22" max="22" width="2.723214"/>
    <col customWidth="1" min="23" max="23" width="22.267856999999999"/>
    <col customWidth="1" min="24" max="24" width="5.7232139999999996"/>
    <col customWidth="1" min="25" max="25" width="7.8125"/>
    <col customWidth="1" min="26" max="26" width="9.1785709999999998"/>
    <col customWidth="1" min="27" max="27" width="2.723214"/>
    <col customWidth="1" min="28" max="28" width="43.178570999999998"/>
  </cols>
  <sheetData>
    <row r="1">
      <c r="A1" s="1" t="s">
        <v>279</v>
      </c>
      <c r="O1" t="s">
        <v>288</v>
      </c>
      <c r="T1" t="s">
        <v>289</v>
      </c>
      <c r="Y1" t="s">
        <v>290</v>
      </c>
    </row>
    <row r="3">
      <c r="A3" s="4" t="s">
        <v>276</v>
      </c>
      <c r="B3" s="4" t="s">
        <v>277</v>
      </c>
      <c r="D3" s="4" t="s">
        <v>291</v>
      </c>
      <c r="E3" s="4" t="s">
        <v>292</v>
      </c>
      <c r="O3" t="s">
        <v>176</v>
      </c>
      <c r="P3" s="7">
        <f>COUNTA(A4:A25)</f>
        <v>22</v>
      </c>
      <c r="R3" t="e">
        <v>#NAME?</v>
      </c>
      <c r="T3" t="s">
        <v>176</v>
      </c>
      <c r="U3" s="7">
        <f>COUNTA(A4:A25)</f>
        <v>22</v>
      </c>
      <c r="W3" t="e">
        <v>#NAME?</v>
      </c>
      <c r="Y3" t="s">
        <v>176</v>
      </c>
      <c r="Z3" s="7">
        <f>COUNTA(A4:A25)</f>
        <v>22</v>
      </c>
      <c r="AB3" t="e">
        <v>#NAME?</v>
      </c>
    </row>
    <row r="4">
      <c r="A4" t="s">
        <v>293</v>
      </c>
      <c r="B4" s="37">
        <v>16272.01</v>
      </c>
      <c r="O4" t="s">
        <v>183</v>
      </c>
      <c r="P4" s="10">
        <f>1/SQRT(P3)</f>
        <v>0.21320071635561</v>
      </c>
      <c r="R4" t="e">
        <v>#NAME?</v>
      </c>
      <c r="T4" t="s">
        <v>294</v>
      </c>
      <c r="U4" s="10">
        <v>5</v>
      </c>
      <c r="Y4" t="s">
        <v>294</v>
      </c>
      <c r="Z4" s="10">
        <v>5</v>
      </c>
    </row>
    <row r="5">
      <c r="A5" t="s">
        <v>295</v>
      </c>
      <c r="B5" s="37">
        <v>16472.369999999999</v>
      </c>
      <c r="C5" s="37"/>
      <c r="D5" s="15">
        <v>1</v>
      </c>
      <c r="E5" t="e">
        <v>#NAME?</v>
      </c>
      <c r="O5" t="s">
        <v>203</v>
      </c>
      <c r="P5" s="10">
        <v>5.0000000000000003e-02</v>
      </c>
      <c r="T5" t="s">
        <v>203</v>
      </c>
      <c r="U5" s="10">
        <v>5.0000000000000003e-02</v>
      </c>
      <c r="Y5" t="s">
        <v>203</v>
      </c>
      <c r="Z5" s="10">
        <v>5.0000000000000003e-02</v>
      </c>
    </row>
    <row r="6">
      <c r="A6" t="s">
        <v>296</v>
      </c>
      <c r="B6" s="37">
        <v>16776.43</v>
      </c>
      <c r="C6" s="37"/>
      <c r="D6" s="15">
        <f t="shared" ref="D6:D10" si="378">D5+1</f>
        <v>2</v>
      </c>
      <c r="E6" t="e">
        <v>#NAME?</v>
      </c>
      <c r="O6" t="s">
        <v>297</v>
      </c>
      <c r="P6" s="10">
        <f>NORMINV(1-P5/2,0,P4)</f>
        <v>0.41786570493778508</v>
      </c>
      <c r="R6" s="20" t="s">
        <v>298</v>
      </c>
      <c r="T6" t="s">
        <v>297</v>
      </c>
      <c r="U6" s="10">
        <f>CHIINV(U5,U4)</f>
        <v>11.0704982944299</v>
      </c>
      <c r="W6" s="20" t="s">
        <v>299</v>
      </c>
      <c r="Y6" t="s">
        <v>297</v>
      </c>
      <c r="Z6" s="10">
        <f>CHIINV(Z5,Z4)</f>
        <v>11.0704982944299</v>
      </c>
      <c r="AB6" s="20" t="s">
        <v>300</v>
      </c>
    </row>
    <row r="7">
      <c r="A7" t="s">
        <v>301</v>
      </c>
      <c r="B7" s="37">
        <v>16790.189999999995</v>
      </c>
      <c r="C7" s="37"/>
      <c r="D7" s="15">
        <f t="shared" si="378"/>
        <v>3</v>
      </c>
      <c r="E7" t="e">
        <v>#NAME?</v>
      </c>
      <c r="O7" t="s">
        <v>302</v>
      </c>
      <c r="P7" s="10">
        <v>5</v>
      </c>
      <c r="T7" t="s">
        <v>303</v>
      </c>
      <c r="U7" s="10" t="e">
        <f>U3*SUMSQ(E5:E9)</f>
        <v>#NAME?</v>
      </c>
      <c r="W7" t="e">
        <v>#NAME?</v>
      </c>
      <c r="Y7" t="s">
        <v>304</v>
      </c>
      <c r="Z7" s="10" t="e">
        <f>Z3*(Z3+2)*SUMPRODUCT((E5:E9)^2/(Z3-D5:D9))</f>
        <v>#NAME?</v>
      </c>
      <c r="AB7" t="e">
        <v>#NAME?</v>
      </c>
    </row>
    <row r="8">
      <c r="A8" t="s">
        <v>305</v>
      </c>
      <c r="B8" s="37">
        <v>16912.290000000001</v>
      </c>
      <c r="C8" s="37"/>
      <c r="D8" s="15">
        <f t="shared" si="378"/>
        <v>4</v>
      </c>
      <c r="E8" t="e">
        <v>#NAME?</v>
      </c>
      <c r="O8" t="s">
        <v>292</v>
      </c>
      <c r="P8" s="10" t="e">
        <f ca="1">OFFSET(E4,P7,0)</f>
        <v>#NAME?</v>
      </c>
      <c r="R8" t="e">
        <v>#NAME?</v>
      </c>
      <c r="T8" t="s">
        <v>189</v>
      </c>
      <c r="U8" s="10" t="e">
        <f>CHIDIST(U7,U4)</f>
        <v>#NAME?</v>
      </c>
      <c r="W8" s="20" t="s">
        <v>306</v>
      </c>
      <c r="Y8" t="s">
        <v>189</v>
      </c>
      <c r="Z8" s="10" t="e">
        <f>CHIDIST(Z7,Z4)</f>
        <v>#NAME?</v>
      </c>
      <c r="AB8" s="20" t="s">
        <v>307</v>
      </c>
    </row>
    <row r="9">
      <c r="A9" t="s">
        <v>308</v>
      </c>
      <c r="B9" s="37">
        <v>17050.75</v>
      </c>
      <c r="C9" s="37"/>
      <c r="D9" s="15">
        <f t="shared" si="378"/>
        <v>5</v>
      </c>
      <c r="E9" t="e">
        <v>#NAME?</v>
      </c>
      <c r="O9" t="s">
        <v>189</v>
      </c>
      <c r="P9" s="10" t="e">
        <f>1-NORMDIST(P8,0,P4,TRUE)</f>
        <v>#NAME?</v>
      </c>
      <c r="R9" s="20" t="s">
        <v>309</v>
      </c>
      <c r="T9" t="s">
        <v>204</v>
      </c>
      <c r="U9" s="21" t="e">
        <f>IF(U8&lt;U5,"yes","no")</f>
        <v>#NAME?</v>
      </c>
      <c r="W9" t="e">
        <v>#NAME?</v>
      </c>
      <c r="Y9" t="s">
        <v>204</v>
      </c>
      <c r="Z9" s="21" t="e">
        <f>IF(Z8&lt;Z5,"yes","no")</f>
        <v>#NAME?</v>
      </c>
      <c r="AB9" t="e">
        <v>#NAME?</v>
      </c>
    </row>
    <row r="10">
      <c r="A10" t="s">
        <v>310</v>
      </c>
      <c r="B10" s="37">
        <v>17084.490000000002</v>
      </c>
      <c r="C10" s="37"/>
      <c r="D10" s="15">
        <f t="shared" si="378"/>
        <v>6</v>
      </c>
      <c r="E10" t="e">
        <v>#NAME?</v>
      </c>
      <c r="O10" t="s">
        <v>204</v>
      </c>
      <c r="P10" s="21" t="e">
        <f>IF(P8&gt;P6,"yes","no")</f>
        <v>#NAME?</v>
      </c>
      <c r="R10" t="e">
        <v>#NAME?</v>
      </c>
    </row>
    <row r="11">
      <c r="A11" t="s">
        <v>311</v>
      </c>
      <c r="B11" s="37">
        <v>17131.860000000001</v>
      </c>
      <c r="C11" s="37"/>
      <c r="D11" s="15">
        <f t="shared" ref="D11:D14" si="379">D10+1</f>
        <v>7</v>
      </c>
      <c r="E11" t="e">
        <v>#NAME?</v>
      </c>
      <c r="T11" t="s">
        <v>303</v>
      </c>
      <c r="U11" s="7" t="e">
        <v>#NAME?</v>
      </c>
      <c r="W11" t="e">
        <v>#NAME?</v>
      </c>
      <c r="Y11" t="s">
        <v>304</v>
      </c>
      <c r="Z11" s="7" t="e">
        <v>#NAME?</v>
      </c>
      <c r="AB11" t="e">
        <v>#NAME?</v>
      </c>
    </row>
    <row r="12">
      <c r="A12" t="s">
        <v>312</v>
      </c>
      <c r="B12" s="37">
        <v>17081.889999999999</v>
      </c>
      <c r="C12" s="37"/>
      <c r="D12" s="15">
        <f t="shared" si="379"/>
        <v>8</v>
      </c>
      <c r="E12" t="e">
        <v>#NAME?</v>
      </c>
      <c r="O12" t="s">
        <v>189</v>
      </c>
      <c r="P12" s="7" t="e">
        <v>#NAME?</v>
      </c>
      <c r="R12" t="e">
        <v>#NAME?</v>
      </c>
      <c r="T12" t="s">
        <v>189</v>
      </c>
      <c r="U12" s="13" t="e">
        <v>#NAME?</v>
      </c>
      <c r="W12" t="e">
        <v>#NAME?</v>
      </c>
      <c r="Y12" t="s">
        <v>189</v>
      </c>
      <c r="Z12" s="13" t="e">
        <v>#NAME?</v>
      </c>
      <c r="AB12" t="e">
        <v>#NAME?</v>
      </c>
    </row>
    <row r="13">
      <c r="A13" t="s">
        <v>313</v>
      </c>
      <c r="B13" s="37">
        <v>16924.75</v>
      </c>
      <c r="C13" s="37"/>
      <c r="D13" s="15">
        <f t="shared" si="379"/>
        <v>9</v>
      </c>
      <c r="E13" t="e">
        <v>#NAME?</v>
      </c>
      <c r="O13" t="s">
        <v>189</v>
      </c>
      <c r="P13" s="13" t="e">
        <v>#NAME?</v>
      </c>
      <c r="R13" t="e">
        <v>#NAME?</v>
      </c>
    </row>
    <row r="14">
      <c r="A14" t="s">
        <v>314</v>
      </c>
      <c r="B14" s="37">
        <v>17141.75</v>
      </c>
      <c r="C14" s="37"/>
      <c r="D14" s="17">
        <f t="shared" si="379"/>
        <v>10</v>
      </c>
      <c r="E14" s="14" t="e">
        <v>#NAME?</v>
      </c>
    </row>
    <row r="15">
      <c r="A15" t="s">
        <v>315</v>
      </c>
      <c r="B15" s="37">
        <v>17215.970000000001</v>
      </c>
      <c r="C15" s="37"/>
      <c r="D15" s="15"/>
    </row>
    <row r="16">
      <c r="A16" t="s">
        <v>316</v>
      </c>
      <c r="B16" s="37">
        <v>17230.540000000001</v>
      </c>
      <c r="C16" s="37"/>
      <c r="D16" s="15"/>
    </row>
    <row r="17">
      <c r="A17" t="s">
        <v>317</v>
      </c>
      <c r="B17" s="37">
        <v>17217.110000000001</v>
      </c>
      <c r="C17" s="37"/>
      <c r="D17" s="15"/>
    </row>
    <row r="18">
      <c r="A18" t="s">
        <v>318</v>
      </c>
      <c r="B18" s="37">
        <v>17168.610000000001</v>
      </c>
      <c r="C18" s="37"/>
      <c r="D18" s="15"/>
    </row>
    <row r="19">
      <c r="A19" t="s">
        <v>319</v>
      </c>
      <c r="B19" s="37">
        <v>17489.16</v>
      </c>
      <c r="C19" s="37"/>
      <c r="D19" s="15"/>
    </row>
    <row r="20">
      <c r="A20" t="s">
        <v>320</v>
      </c>
      <c r="B20" s="37">
        <v>17646.700000000001</v>
      </c>
      <c r="C20" s="37"/>
    </row>
    <row r="21">
      <c r="A21" t="s">
        <v>321</v>
      </c>
      <c r="B21" s="37">
        <v>17623.049999999999</v>
      </c>
      <c r="C21" s="37"/>
    </row>
    <row r="22">
      <c r="A22" t="s">
        <v>322</v>
      </c>
      <c r="B22" s="37">
        <v>17581.43</v>
      </c>
      <c r="C22" s="37"/>
    </row>
    <row r="23">
      <c r="A23" t="s">
        <v>323</v>
      </c>
      <c r="B23" s="37">
        <v>17779.52</v>
      </c>
      <c r="C23" s="37"/>
    </row>
    <row r="24">
      <c r="A24" t="s">
        <v>324</v>
      </c>
      <c r="B24" s="37">
        <v>17755.799999999999</v>
      </c>
      <c r="C24" s="37"/>
    </row>
    <row r="25">
      <c r="A25" s="14" t="s">
        <v>325</v>
      </c>
      <c r="B25" s="39">
        <v>17663.540000000001</v>
      </c>
      <c r="C25" s="37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21" zoomScale="100" workbookViewId="0">
      <selection activeCell="J27" activeCellId="0" sqref="J27"/>
    </sheetView>
  </sheetViews>
  <sheetFormatPr defaultRowHeight="14.25"/>
  <cols>
    <col customWidth="1" min="1" max="1" width="9.1785709999999998"/>
    <col customWidth="1" min="2" max="2" width="9.5446430000000007"/>
    <col customWidth="1" min="3" max="3" width="6.2678570000000002"/>
    <col customWidth="1" min="4" max="4" width="9.1785709999999998"/>
    <col customWidth="1" min="11" max="11" width="11"/>
    <col customWidth="1" min="12" max="13" width="9.1785709999999998"/>
    <col customWidth="1" min="16" max="16" width="9.1785709999999998"/>
  </cols>
  <sheetData>
    <row r="1">
      <c r="A1" s="1" t="s">
        <v>326</v>
      </c>
    </row>
    <row r="3">
      <c r="A3" s="4" t="s">
        <v>276</v>
      </c>
      <c r="B3" s="4" t="s">
        <v>277</v>
      </c>
      <c r="D3" s="4" t="s">
        <v>291</v>
      </c>
      <c r="E3" s="4" t="s">
        <v>327</v>
      </c>
      <c r="F3" s="4" t="s">
        <v>292</v>
      </c>
      <c r="G3" s="4" t="s">
        <v>328</v>
      </c>
      <c r="I3">
        <v>1</v>
      </c>
      <c r="L3">
        <v>2</v>
      </c>
      <c r="P3">
        <v>3</v>
      </c>
      <c r="U3">
        <v>4</v>
      </c>
    </row>
    <row r="4">
      <c r="A4" s="36">
        <v>37165</v>
      </c>
      <c r="B4" s="37">
        <v>16272.01</v>
      </c>
      <c r="D4" s="15">
        <v>0</v>
      </c>
      <c r="E4" t="e">
        <v>#NAME?</v>
      </c>
      <c r="G4" t="e">
        <v>#NAME?</v>
      </c>
      <c r="I4" s="18" t="e">
        <v>#NAME?</v>
      </c>
      <c r="K4" s="5" t="e">
        <f>E4</f>
        <v>#NAME?</v>
      </c>
      <c r="L4" s="6" t="e">
        <f>E5</f>
        <v>#NAME?</v>
      </c>
      <c r="N4" s="5" t="e">
        <f>E4</f>
        <v>#NAME?</v>
      </c>
      <c r="O4" s="42" t="e">
        <f>E5</f>
        <v>#NAME?</v>
      </c>
      <c r="P4" s="6" t="e">
        <f>E6</f>
        <v>#NAME?</v>
      </c>
      <c r="R4" s="5" t="e">
        <f>E4</f>
        <v>#NAME?</v>
      </c>
      <c r="S4" s="42" t="e">
        <f>E5</f>
        <v>#NAME?</v>
      </c>
      <c r="T4" s="42" t="e">
        <f>E6</f>
        <v>#NAME?</v>
      </c>
      <c r="U4" s="6" t="e">
        <f>E7</f>
        <v>#NAME?</v>
      </c>
    </row>
    <row r="5">
      <c r="A5" s="36">
        <v>37530</v>
      </c>
      <c r="B5" s="37">
        <v>16472.369999999999</v>
      </c>
      <c r="C5" s="37"/>
      <c r="D5" s="15">
        <v>1</v>
      </c>
      <c r="E5" t="e">
        <v>#NAME?</v>
      </c>
      <c r="F5" t="e">
        <v>#NAME?</v>
      </c>
      <c r="G5" t="e">
        <v>#NAME?</v>
      </c>
      <c r="K5" s="11" t="e">
        <f>L4</f>
        <v>#NAME?</v>
      </c>
      <c r="L5" s="12" t="e">
        <f>K4</f>
        <v>#NAME?</v>
      </c>
      <c r="N5" s="8" t="e">
        <f>O4</f>
        <v>#NAME?</v>
      </c>
      <c r="O5" t="e">
        <f>N4</f>
        <v>#NAME?</v>
      </c>
      <c r="P5" s="9" t="e">
        <f t="shared" ref="P5:P6" si="380">O4</f>
        <v>#NAME?</v>
      </c>
      <c r="R5" s="8" t="e">
        <f>S4</f>
        <v>#NAME?</v>
      </c>
      <c r="S5" t="e">
        <f>R4</f>
        <v>#NAME?</v>
      </c>
      <c r="T5" t="e">
        <f t="shared" ref="T5:T6" si="381">S4</f>
        <v>#NAME?</v>
      </c>
      <c r="U5" s="9" t="e">
        <f t="shared" ref="U5:U7" si="382">T4</f>
        <v>#NAME?</v>
      </c>
    </row>
    <row r="6">
      <c r="A6" s="36">
        <v>38626</v>
      </c>
      <c r="B6" s="37">
        <v>16776.43</v>
      </c>
      <c r="C6" s="37"/>
      <c r="D6" s="15">
        <f t="shared" ref="D6:D10" si="383">D5+1</f>
        <v>2</v>
      </c>
      <c r="E6" t="e">
        <v>#NAME?</v>
      </c>
      <c r="F6" t="e">
        <v>#NAME?</v>
      </c>
      <c r="G6" t="e">
        <v>#NAME?</v>
      </c>
      <c r="I6" s="18" t="e">
        <f>E5</f>
        <v>#NAME?</v>
      </c>
      <c r="N6" s="11" t="e">
        <f>P4</f>
        <v>#NAME?</v>
      </c>
      <c r="O6" s="14" t="e">
        <f>P5</f>
        <v>#NAME?</v>
      </c>
      <c r="P6" s="12" t="e">
        <f t="shared" si="380"/>
        <v>#NAME?</v>
      </c>
      <c r="R6" s="8" t="e">
        <f>T4</f>
        <v>#NAME?</v>
      </c>
      <c r="S6" t="e">
        <f>T5</f>
        <v>#NAME?</v>
      </c>
      <c r="T6" t="e">
        <f t="shared" si="381"/>
        <v>#NAME?</v>
      </c>
      <c r="U6" s="9" t="e">
        <f t="shared" si="382"/>
        <v>#NAME?</v>
      </c>
    </row>
    <row r="7">
      <c r="A7" s="36">
        <v>38991</v>
      </c>
      <c r="B7" s="37">
        <v>16790.189999999995</v>
      </c>
      <c r="C7" s="37"/>
      <c r="D7" s="15">
        <f t="shared" si="383"/>
        <v>3</v>
      </c>
      <c r="E7" t="e">
        <v>#NAME?</v>
      </c>
      <c r="F7" t="e">
        <v>#NAME?</v>
      </c>
      <c r="G7" t="e">
        <v>#NAME?</v>
      </c>
      <c r="K7" s="7" t="e">
        <f t="shared" ref="K7:K8" si="384">E5</f>
        <v>#NAME?</v>
      </c>
      <c r="R7" s="11" t="e">
        <f>U4</f>
        <v>#NAME?</v>
      </c>
      <c r="S7" s="14" t="e">
        <f>U5</f>
        <v>#NAME?</v>
      </c>
      <c r="T7" s="14" t="e">
        <f>U6</f>
        <v>#NAME?</v>
      </c>
      <c r="U7" s="12" t="e">
        <f t="shared" si="382"/>
        <v>#NAME?</v>
      </c>
    </row>
    <row r="8">
      <c r="A8" s="36">
        <v>39356</v>
      </c>
      <c r="B8" s="37">
        <v>16912.290000000001</v>
      </c>
      <c r="C8" s="37"/>
      <c r="D8" s="15">
        <f t="shared" si="383"/>
        <v>4</v>
      </c>
      <c r="E8" t="e">
        <v>#NAME?</v>
      </c>
      <c r="F8" t="e">
        <v>#NAME?</v>
      </c>
      <c r="G8" t="e">
        <v>#NAME?</v>
      </c>
      <c r="I8" s="18" t="e">
        <f t="array" ref="I8">MMULT(MINVERSE(I4),I6)</f>
        <v>#NAME?</v>
      </c>
      <c r="K8" s="13" t="e">
        <f t="shared" si="384"/>
        <v>#NAME?</v>
      </c>
      <c r="N8" s="7" t="e">
        <f t="shared" ref="N8:N10" si="385">E5</f>
        <v>#NAME?</v>
      </c>
      <c r="P8" s="7" t="e">
        <f t="array" ref="P8:P10">MMULT(MINVERSE(N4:P6),N8:N10)</f>
        <v>#NAME?</v>
      </c>
    </row>
    <row r="9">
      <c r="A9" s="36">
        <v>39722</v>
      </c>
      <c r="B9" s="37">
        <v>17050.75</v>
      </c>
      <c r="C9" s="37"/>
      <c r="D9" s="15">
        <f t="shared" si="383"/>
        <v>5</v>
      </c>
      <c r="E9" t="e">
        <v>#NAME?</v>
      </c>
      <c r="F9" t="e">
        <v>#NAME?</v>
      </c>
      <c r="G9" t="e">
        <v>#NAME?</v>
      </c>
      <c r="N9" s="10" t="e">
        <f t="shared" si="385"/>
        <v>#NAME?</v>
      </c>
      <c r="P9" s="10" t="e">
        <f/>
        <v>#NAME?</v>
      </c>
      <c r="R9" s="7" t="e">
        <f t="shared" ref="R9:R12" si="386">E5</f>
        <v>#NAME?</v>
      </c>
      <c r="T9" s="7" t="e">
        <f t="array" ref="T9:T12">MMULT(MINVERSE(R4:U7),R9:R12)</f>
        <v>#NAME?</v>
      </c>
    </row>
    <row r="10">
      <c r="A10" s="36">
        <v>40087</v>
      </c>
      <c r="B10" s="37">
        <v>17084.490000000002</v>
      </c>
      <c r="C10" s="37"/>
      <c r="D10" s="15">
        <f t="shared" si="383"/>
        <v>6</v>
      </c>
      <c r="E10" t="e">
        <v>#NAME?</v>
      </c>
      <c r="F10" t="e">
        <v>#NAME?</v>
      </c>
      <c r="G10" t="e">
        <v>#NAME?</v>
      </c>
      <c r="K10" s="7" t="e">
        <f t="array" ref="K10:K11">MMULT(MINVERSE(K4:L5),K7:K8)</f>
        <v>#NAME?</v>
      </c>
      <c r="N10" s="13" t="e">
        <f t="shared" si="385"/>
        <v>#NAME?</v>
      </c>
      <c r="P10" s="13" t="e">
        <f/>
        <v>#NAME?</v>
      </c>
      <c r="R10" s="10" t="e">
        <f t="shared" si="386"/>
        <v>#NAME?</v>
      </c>
      <c r="T10" s="10" t="e">
        <f/>
        <v>#NAME?</v>
      </c>
    </row>
    <row r="11">
      <c r="A11" s="36">
        <v>41183</v>
      </c>
      <c r="B11" s="37">
        <v>17131.860000000001</v>
      </c>
      <c r="C11" s="37"/>
      <c r="D11" s="17">
        <f>D10+1</f>
        <v>7</v>
      </c>
      <c r="E11" s="14" t="e">
        <v>#NAME?</v>
      </c>
      <c r="F11" s="14" t="e">
        <v>#NAME?</v>
      </c>
      <c r="G11" s="14" t="e">
        <v>#NAME?</v>
      </c>
      <c r="K11" s="13" t="e">
        <f/>
        <v>#NAME?</v>
      </c>
      <c r="R11" s="10" t="e">
        <f t="shared" si="386"/>
        <v>#NAME?</v>
      </c>
      <c r="T11" s="10" t="e">
        <f/>
        <v>#NAME?</v>
      </c>
    </row>
    <row r="12">
      <c r="A12" s="36">
        <v>41548</v>
      </c>
      <c r="B12" s="37">
        <v>17081.889999999999</v>
      </c>
      <c r="C12" s="37"/>
      <c r="D12" s="37"/>
      <c r="E12" s="37"/>
      <c r="F12" s="37"/>
      <c r="G12" s="37"/>
      <c r="R12" s="13" t="e">
        <f t="shared" si="386"/>
        <v>#NAME?</v>
      </c>
      <c r="T12" s="13" t="e">
        <f/>
        <v>#NAME?</v>
      </c>
    </row>
    <row r="13" ht="15" customHeight="1">
      <c r="A13" s="36">
        <v>41913</v>
      </c>
      <c r="B13" s="37">
        <v>16924.75</v>
      </c>
      <c r="C13" s="37"/>
      <c r="D13" s="37"/>
      <c r="E13" s="37"/>
      <c r="F13" t="s">
        <v>329</v>
      </c>
      <c r="G13" s="7" t="e">
        <v>#NAME?</v>
      </c>
    </row>
    <row r="14" ht="15" customHeight="1">
      <c r="A14" s="36">
        <v>42278</v>
      </c>
      <c r="B14" s="37">
        <v>17141.75</v>
      </c>
      <c r="C14" s="37"/>
      <c r="D14" s="37"/>
      <c r="E14" s="37"/>
      <c r="F14" t="s">
        <v>330</v>
      </c>
      <c r="G14" s="13" t="e">
        <v>#NAME?</v>
      </c>
      <c r="R14" s="5" t="e">
        <f t="array" ref="R14:U17">R4:U7/E4</f>
        <v>#NAME?</v>
      </c>
      <c r="S14" s="42" t="e">
        <f/>
        <v>#NAME?</v>
      </c>
      <c r="T14" s="42" t="e">
        <f/>
        <v>#NAME?</v>
      </c>
      <c r="U14" s="6" t="e">
        <f/>
        <v>#NAME?</v>
      </c>
      <c r="W14" s="5" t="e">
        <v>#NAME?</v>
      </c>
      <c r="X14" s="42" t="e">
        <v>#NAME?</v>
      </c>
      <c r="Y14" s="42" t="e">
        <v>#NAME?</v>
      </c>
      <c r="Z14" s="6" t="e">
        <v>#NAME?</v>
      </c>
    </row>
    <row r="15">
      <c r="A15" s="36">
        <v>42644</v>
      </c>
      <c r="B15" s="37">
        <v>17215.970000000001</v>
      </c>
      <c r="C15" s="37"/>
      <c r="D15" s="37"/>
      <c r="E15" s="37"/>
      <c r="F15" s="37"/>
      <c r="G15" s="37"/>
      <c r="R15" s="8" t="e">
        <f/>
        <v>#NAME?</v>
      </c>
      <c r="S15" t="e">
        <f/>
        <v>#NAME?</v>
      </c>
      <c r="T15" t="e">
        <f/>
        <v>#NAME?</v>
      </c>
      <c r="U15" s="9" t="e">
        <f/>
        <v>#NAME?</v>
      </c>
      <c r="W15" s="8" t="e">
        <v>#NAME?</v>
      </c>
      <c r="X15" t="e">
        <v>#NAME?</v>
      </c>
      <c r="Y15" t="e">
        <v>#NAME?</v>
      </c>
      <c r="Z15" s="9" t="e">
        <v>#NAME?</v>
      </c>
    </row>
    <row r="16">
      <c r="A16" s="36">
        <v>43739</v>
      </c>
      <c r="B16" s="37">
        <v>17230.540000000001</v>
      </c>
      <c r="C16" s="37"/>
      <c r="D16" s="15"/>
      <c r="E16" s="15"/>
      <c r="R16" s="8" t="e">
        <f/>
        <v>#NAME?</v>
      </c>
      <c r="S16" t="e">
        <f/>
        <v>#NAME?</v>
      </c>
      <c r="T16" t="e">
        <f/>
        <v>#NAME?</v>
      </c>
      <c r="U16" s="9" t="e">
        <f/>
        <v>#NAME?</v>
      </c>
      <c r="W16" s="8" t="e">
        <v>#NAME?</v>
      </c>
      <c r="X16" t="e">
        <v>#NAME?</v>
      </c>
      <c r="Y16" t="e">
        <v>#NAME?</v>
      </c>
      <c r="Z16" s="9" t="e">
        <v>#NAME?</v>
      </c>
    </row>
    <row r="17">
      <c r="A17" s="36">
        <v>44105</v>
      </c>
      <c r="B17" s="37">
        <v>17217.110000000001</v>
      </c>
      <c r="C17" s="37"/>
      <c r="D17" s="15"/>
      <c r="E17" s="15"/>
      <c r="R17" s="11" t="e">
        <f/>
        <v>#NAME?</v>
      </c>
      <c r="S17" s="14" t="e">
        <f/>
        <v>#NAME?</v>
      </c>
      <c r="T17" s="14" t="e">
        <f/>
        <v>#NAME?</v>
      </c>
      <c r="U17" s="12" t="e">
        <f/>
        <v>#NAME?</v>
      </c>
      <c r="W17" s="11" t="e">
        <v>#NAME?</v>
      </c>
      <c r="X17" s="14" t="e">
        <v>#NAME?</v>
      </c>
      <c r="Y17" s="14" t="e">
        <v>#NAME?</v>
      </c>
      <c r="Z17" s="12" t="e">
        <v>#NAME?</v>
      </c>
    </row>
    <row r="18">
      <c r="A18" s="36">
        <v>44470</v>
      </c>
      <c r="B18" s="37">
        <v>17168.610000000001</v>
      </c>
      <c r="C18" s="37"/>
      <c r="D18" s="15"/>
      <c r="E18" s="15"/>
    </row>
    <row r="19" ht="15" customHeight="1">
      <c r="A19" s="36">
        <v>44835</v>
      </c>
      <c r="B19" s="37">
        <v>17489.16</v>
      </c>
      <c r="C19" s="37"/>
      <c r="D19" s="15"/>
      <c r="E19" s="15"/>
      <c r="I19" s="18" t="e">
        <v>#NAME?</v>
      </c>
      <c r="K19" s="5" t="e">
        <v>#NAME?</v>
      </c>
      <c r="L19" s="6" t="e">
        <v>#NAME?</v>
      </c>
      <c r="N19" s="5" t="e">
        <v>#NAME?</v>
      </c>
      <c r="O19" s="42" t="e">
        <v>#NAME?</v>
      </c>
      <c r="P19" s="6" t="e">
        <v>#NAME?</v>
      </c>
    </row>
    <row r="20" ht="15" customHeight="1">
      <c r="A20" s="36">
        <v>45200</v>
      </c>
      <c r="B20" s="37">
        <v>17646.700000000001</v>
      </c>
      <c r="C20" s="37"/>
      <c r="D20" s="15"/>
      <c r="E20" s="15"/>
      <c r="K20" s="11" t="e">
        <v>#NAME?</v>
      </c>
      <c r="L20" s="12" t="e">
        <v>#NAME?</v>
      </c>
      <c r="N20" s="8" t="e">
        <v>#NAME?</v>
      </c>
      <c r="O20" t="e">
        <v>#NAME?</v>
      </c>
      <c r="P20" s="9" t="e">
        <v>#NAME?</v>
      </c>
    </row>
    <row r="21">
      <c r="A21" s="36">
        <v>46296</v>
      </c>
      <c r="B21" s="37">
        <v>17623.049999999999</v>
      </c>
      <c r="C21" s="37"/>
      <c r="D21" s="15"/>
      <c r="E21" s="15"/>
      <c r="I21" t="e">
        <v>#NAME?</v>
      </c>
      <c r="N21" s="11" t="e">
        <v>#NAME?</v>
      </c>
      <c r="O21" s="14" t="e">
        <v>#NAME?</v>
      </c>
      <c r="P21" s="12" t="e">
        <v>#NAME?</v>
      </c>
    </row>
    <row r="22">
      <c r="A22" s="36">
        <v>46661</v>
      </c>
      <c r="B22" s="37">
        <v>17581.43</v>
      </c>
      <c r="C22" s="37"/>
      <c r="D22" s="15"/>
      <c r="E22" s="15"/>
      <c r="K22" t="e">
        <v>#NAME?</v>
      </c>
    </row>
    <row r="23">
      <c r="A23" s="36">
        <v>47027</v>
      </c>
      <c r="B23" s="37">
        <v>17779.52</v>
      </c>
      <c r="C23" s="37"/>
      <c r="D23" s="15"/>
      <c r="E23" s="15"/>
      <c r="N23" t="e">
        <v>#NAME?</v>
      </c>
    </row>
    <row r="24">
      <c r="A24" s="36">
        <v>47392</v>
      </c>
      <c r="B24" s="37">
        <v>17755.799999999999</v>
      </c>
      <c r="C24" s="37"/>
      <c r="D24" s="15"/>
      <c r="E24" s="15"/>
    </row>
    <row r="25">
      <c r="A25" s="38">
        <v>11232</v>
      </c>
      <c r="B25" s="39">
        <v>17663.540000000001</v>
      </c>
      <c r="C25" s="37"/>
      <c r="D25" s="15"/>
      <c r="E25" s="15"/>
    </row>
    <row r="26">
      <c r="D26" s="15"/>
      <c r="E26" s="15"/>
    </row>
    <row r="27">
      <c r="D27" s="15"/>
      <c r="E27" s="15"/>
      <c r="J27" t="s">
        <v>288</v>
      </c>
    </row>
    <row r="28">
      <c r="D28" s="15"/>
      <c r="E28" s="15"/>
    </row>
    <row r="29">
      <c r="D29" s="15"/>
      <c r="E29" s="15"/>
      <c r="J29" t="s">
        <v>176</v>
      </c>
      <c r="K29" s="7">
        <f>COUNT(B4:B25)</f>
        <v>22</v>
      </c>
      <c r="M29" t="e">
        <v>#NAME?</v>
      </c>
    </row>
    <row r="30">
      <c r="D30" s="15"/>
      <c r="E30" s="15"/>
      <c r="J30" t="s">
        <v>183</v>
      </c>
      <c r="K30" s="10">
        <f>1/SQRT(K29)</f>
        <v>0.21320071635561</v>
      </c>
      <c r="M30" t="e">
        <v>#NAME?</v>
      </c>
    </row>
    <row r="31">
      <c r="D31" s="15"/>
      <c r="E31" s="15"/>
      <c r="J31" t="s">
        <v>203</v>
      </c>
      <c r="K31" s="10">
        <v>5.0000000000000003e-02</v>
      </c>
    </row>
    <row r="32">
      <c r="D32" s="15"/>
      <c r="E32" s="15"/>
      <c r="J32" t="s">
        <v>297</v>
      </c>
      <c r="K32" s="10">
        <f>NORMINV(1-K31/2,0,K30)</f>
        <v>0.41786570493778508</v>
      </c>
      <c r="M32" s="20" t="s">
        <v>298</v>
      </c>
    </row>
    <row r="33">
      <c r="D33" s="15"/>
      <c r="E33" s="15"/>
      <c r="J33" t="s">
        <v>302</v>
      </c>
      <c r="K33" s="10">
        <v>2</v>
      </c>
    </row>
    <row r="34">
      <c r="J34" t="s">
        <v>328</v>
      </c>
      <c r="K34" s="10" t="e">
        <f>G6</f>
        <v>#NAME?</v>
      </c>
      <c r="M34" t="e">
        <v>#NAME?</v>
      </c>
    </row>
    <row r="35">
      <c r="J35" t="s">
        <v>189</v>
      </c>
      <c r="K35" s="10" t="e">
        <f>1-NORMDIST(K34,0,K30,TRUE)</f>
        <v>#NAME?</v>
      </c>
      <c r="M35" s="20" t="s">
        <v>331</v>
      </c>
    </row>
    <row r="36">
      <c r="J36" t="s">
        <v>204</v>
      </c>
      <c r="K36" s="21" t="e">
        <f>IF(K34&gt;K32,"yes","no")</f>
        <v>#NAME?</v>
      </c>
      <c r="M36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65</v>
      </c>
    </row>
    <row r="3">
      <c r="A3" s="24" t="s">
        <v>173</v>
      </c>
      <c r="C3" t="s">
        <v>65</v>
      </c>
      <c r="E3" t="s">
        <v>203</v>
      </c>
      <c r="F3" s="18">
        <v>5.0000000000000003e-02</v>
      </c>
      <c r="P3" t="s">
        <v>65</v>
      </c>
      <c r="R3" t="s">
        <v>203</v>
      </c>
      <c r="S3" s="18">
        <v>5.0000000000000003e-02</v>
      </c>
    </row>
    <row r="4">
      <c r="A4">
        <v>10.317780249246972</v>
      </c>
    </row>
    <row r="5">
      <c r="A5">
        <v>10.292348911477513</v>
      </c>
      <c r="C5" s="4" t="s">
        <v>332</v>
      </c>
      <c r="D5" s="4" t="s">
        <v>333</v>
      </c>
      <c r="E5" s="4" t="s">
        <v>215</v>
      </c>
      <c r="F5" s="4" t="s">
        <v>216</v>
      </c>
      <c r="P5" s="4" t="s">
        <v>332</v>
      </c>
      <c r="Q5" s="4" t="s">
        <v>334</v>
      </c>
      <c r="R5" s="4" t="s">
        <v>215</v>
      </c>
      <c r="S5" s="4" t="s">
        <v>216</v>
      </c>
    </row>
    <row r="6">
      <c r="A6">
        <v>10.300752464078952</v>
      </c>
      <c r="C6">
        <v>0</v>
      </c>
      <c r="D6" t="e">
        <v>#NAME?</v>
      </c>
      <c r="P6">
        <v>0</v>
      </c>
      <c r="Q6" t="e">
        <v>#NAME?</v>
      </c>
    </row>
    <row r="7">
      <c r="A7">
        <v>10.292077743419448</v>
      </c>
      <c r="C7">
        <f t="shared" ref="C7:C10" si="387">C6+1</f>
        <v>1</v>
      </c>
      <c r="D7" t="e">
        <v>#NAME?</v>
      </c>
      <c r="E7">
        <f t="shared" ref="E7:E9" si="388">-F7</f>
        <v>-0.26191119139582703</v>
      </c>
      <c r="F7">
        <f>NORMSINV(1-$F$3/2)/SQRT(COUNT($A$4:$A$59))</f>
        <v>0.26191119139582703</v>
      </c>
      <c r="P7">
        <f t="shared" ref="P7:P10" si="389">P6+1</f>
        <v>1</v>
      </c>
      <c r="Q7" t="e">
        <v>#NAME?</v>
      </c>
      <c r="R7">
        <f>-S7</f>
        <v>-0.26191119139582703</v>
      </c>
      <c r="S7">
        <f>NORMSINV(1-$S$3/2)/SQRT(COUNT(A4:A59))</f>
        <v>0.26191119139582703</v>
      </c>
    </row>
    <row r="8">
      <c r="A8">
        <v>10.313044278547544</v>
      </c>
      <c r="C8">
        <f t="shared" si="387"/>
        <v>2</v>
      </c>
      <c r="D8" t="e">
        <v>#NAME?</v>
      </c>
      <c r="E8" t="e">
        <f t="shared" si="388"/>
        <v>#NAME?</v>
      </c>
      <c r="F8" t="e">
        <f t="shared" ref="F8:F10" si="390">NORMSINV(1-$F$3/2)*SQRT((1+2*SUMSQ(D$7:D7))/COUNT($A$4:$A$59))</f>
        <v>#NAME?</v>
      </c>
      <c r="P8">
        <f t="shared" si="389"/>
        <v>2</v>
      </c>
      <c r="Q8" t="e">
        <v>#NAME?</v>
      </c>
      <c r="R8">
        <f t="shared" ref="R8:R10" si="391">R7</f>
        <v>-0.26191119139582703</v>
      </c>
      <c r="S8">
        <f t="shared" ref="S8:S10" si="392">S7</f>
        <v>0.26191119139582703</v>
      </c>
    </row>
    <row r="9">
      <c r="A9">
        <v>10.320419992085185</v>
      </c>
      <c r="C9">
        <f t="shared" si="387"/>
        <v>3</v>
      </c>
      <c r="D9" t="e">
        <v>#NAME?</v>
      </c>
      <c r="E9" t="e">
        <f t="shared" si="388"/>
        <v>#NAME?</v>
      </c>
      <c r="F9" t="e">
        <f t="shared" si="390"/>
        <v>#NAME?</v>
      </c>
      <c r="P9">
        <f t="shared" si="389"/>
        <v>3</v>
      </c>
      <c r="Q9" t="e">
        <v>#NAME?</v>
      </c>
      <c r="R9">
        <f t="shared" si="391"/>
        <v>-0.26191119139582703</v>
      </c>
      <c r="S9">
        <f t="shared" si="392"/>
        <v>0.26191119139582703</v>
      </c>
    </row>
    <row r="10">
      <c r="A10">
        <v>10.366435096057655</v>
      </c>
      <c r="C10">
        <f t="shared" si="387"/>
        <v>4</v>
      </c>
      <c r="D10" t="e">
        <v>#NAME?</v>
      </c>
      <c r="E10" t="e">
        <f t="shared" ref="E10:E36" si="393">-F10</f>
        <v>#NAME?</v>
      </c>
      <c r="F10" t="e">
        <f t="shared" si="390"/>
        <v>#NAME?</v>
      </c>
      <c r="P10">
        <f t="shared" si="389"/>
        <v>4</v>
      </c>
      <c r="Q10" t="e">
        <v>#NAME?</v>
      </c>
      <c r="R10">
        <f t="shared" si="391"/>
        <v>-0.26191119139582703</v>
      </c>
      <c r="S10">
        <f t="shared" si="392"/>
        <v>0.26191119139582703</v>
      </c>
    </row>
    <row r="11">
      <c r="A11">
        <v>10.367441670330306</v>
      </c>
      <c r="C11">
        <f t="shared" ref="C11:C36" si="394">C10+1</f>
        <v>5</v>
      </c>
      <c r="D11" t="e">
        <v>#NAME?</v>
      </c>
      <c r="E11" t="e">
        <f t="shared" si="393"/>
        <v>#NAME?</v>
      </c>
      <c r="F11" t="e">
        <f t="shared" ref="F11:F36" si="395">NORMSINV(1-$F$3/2)*SQRT((1+2*SUMSQ(D$7:D10))/COUNT($A$4:$A$59))</f>
        <v>#NAME?</v>
      </c>
      <c r="P11">
        <f t="shared" ref="P11:P36" si="396">P10+1</f>
        <v>5</v>
      </c>
      <c r="Q11" t="e">
        <v>#NAME?</v>
      </c>
      <c r="R11">
        <f t="shared" ref="R11:R36" si="397">R10</f>
        <v>-0.26191119139582703</v>
      </c>
      <c r="S11">
        <f t="shared" ref="S11:S36" si="398">S10</f>
        <v>0.26191119139582703</v>
      </c>
    </row>
    <row r="12">
      <c r="A12">
        <v>10.395527831398702</v>
      </c>
      <c r="C12">
        <f t="shared" si="394"/>
        <v>6</v>
      </c>
      <c r="D12" t="e">
        <v>#NAME?</v>
      </c>
      <c r="E12" t="e">
        <f t="shared" si="393"/>
        <v>#NAME?</v>
      </c>
      <c r="F12" t="e">
        <f t="shared" si="395"/>
        <v>#NAME?</v>
      </c>
      <c r="P12">
        <f t="shared" si="396"/>
        <v>6</v>
      </c>
      <c r="Q12" t="e">
        <v>#NAME?</v>
      </c>
      <c r="R12">
        <f t="shared" si="397"/>
        <v>-0.26191119139582703</v>
      </c>
      <c r="S12">
        <f t="shared" si="398"/>
        <v>0.26191119139582703</v>
      </c>
    </row>
    <row r="13">
      <c r="A13">
        <v>10.485619369994785</v>
      </c>
      <c r="C13">
        <f t="shared" si="394"/>
        <v>7</v>
      </c>
      <c r="D13" t="e">
        <v>#NAME?</v>
      </c>
      <c r="E13" t="e">
        <f t="shared" si="393"/>
        <v>#NAME?</v>
      </c>
      <c r="F13" t="e">
        <f t="shared" si="395"/>
        <v>#NAME?</v>
      </c>
      <c r="P13">
        <f t="shared" si="396"/>
        <v>7</v>
      </c>
      <c r="Q13" t="e">
        <v>#NAME?</v>
      </c>
      <c r="R13">
        <f t="shared" si="397"/>
        <v>-0.26191119139582703</v>
      </c>
      <c r="S13">
        <f t="shared" si="398"/>
        <v>0.26191119139582703</v>
      </c>
    </row>
    <row r="14">
      <c r="A14">
        <v>10.476188780020186</v>
      </c>
      <c r="C14">
        <f t="shared" si="394"/>
        <v>8</v>
      </c>
      <c r="D14" t="e">
        <v>#NAME?</v>
      </c>
      <c r="E14" t="e">
        <f t="shared" si="393"/>
        <v>#NAME?</v>
      </c>
      <c r="F14" t="e">
        <f t="shared" si="395"/>
        <v>#NAME?</v>
      </c>
      <c r="P14">
        <f t="shared" si="396"/>
        <v>8</v>
      </c>
      <c r="Q14" t="e">
        <v>#NAME?</v>
      </c>
      <c r="R14">
        <f t="shared" si="397"/>
        <v>-0.26191119139582703</v>
      </c>
      <c r="S14">
        <f t="shared" si="398"/>
        <v>0.26191119139582703</v>
      </c>
    </row>
    <row r="15">
      <c r="A15">
        <v>10.463960116191533</v>
      </c>
      <c r="C15">
        <f t="shared" si="394"/>
        <v>9</v>
      </c>
      <c r="D15" t="e">
        <v>#NAME?</v>
      </c>
      <c r="E15" t="e">
        <f t="shared" si="393"/>
        <v>#NAME?</v>
      </c>
      <c r="F15" t="e">
        <f t="shared" si="395"/>
        <v>#NAME?</v>
      </c>
      <c r="P15">
        <f t="shared" si="396"/>
        <v>9</v>
      </c>
      <c r="Q15" t="e">
        <v>#NAME?</v>
      </c>
      <c r="R15">
        <f t="shared" si="397"/>
        <v>-0.26191119139582703</v>
      </c>
      <c r="S15">
        <f t="shared" si="398"/>
        <v>0.26191119139582703</v>
      </c>
    </row>
    <row r="16">
      <c r="A16">
        <v>10.341452118734878</v>
      </c>
      <c r="C16">
        <f t="shared" si="394"/>
        <v>10</v>
      </c>
      <c r="D16" t="e">
        <v>#NAME?</v>
      </c>
      <c r="E16" t="e">
        <f t="shared" si="393"/>
        <v>#NAME?</v>
      </c>
      <c r="F16" t="e">
        <f t="shared" si="395"/>
        <v>#NAME?</v>
      </c>
      <c r="P16">
        <f t="shared" si="396"/>
        <v>10</v>
      </c>
      <c r="Q16" t="e">
        <v>#NAME?</v>
      </c>
      <c r="R16">
        <f t="shared" si="397"/>
        <v>-0.26191119139582703</v>
      </c>
      <c r="S16">
        <f t="shared" si="398"/>
        <v>0.26191119139582703</v>
      </c>
    </row>
    <row r="17">
      <c r="A17">
        <v>10.402473361497908</v>
      </c>
      <c r="C17">
        <f t="shared" si="394"/>
        <v>11</v>
      </c>
      <c r="D17" t="e">
        <v>#NAME?</v>
      </c>
      <c r="E17" t="e">
        <f t="shared" si="393"/>
        <v>#NAME?</v>
      </c>
      <c r="F17" t="e">
        <f t="shared" si="395"/>
        <v>#NAME?</v>
      </c>
      <c r="P17">
        <f t="shared" si="396"/>
        <v>11</v>
      </c>
      <c r="Q17" t="e">
        <v>#NAME?</v>
      </c>
      <c r="R17">
        <f t="shared" si="397"/>
        <v>-0.26191119139582703</v>
      </c>
      <c r="S17">
        <f t="shared" si="398"/>
        <v>0.26191119139582703</v>
      </c>
    </row>
    <row r="18">
      <c r="A18">
        <v>10.391576649328249</v>
      </c>
      <c r="C18">
        <f t="shared" si="394"/>
        <v>12</v>
      </c>
      <c r="D18" t="e">
        <v>#NAME?</v>
      </c>
      <c r="E18" t="e">
        <f t="shared" si="393"/>
        <v>#NAME?</v>
      </c>
      <c r="F18" t="e">
        <f t="shared" si="395"/>
        <v>#NAME?</v>
      </c>
      <c r="P18">
        <f t="shared" si="396"/>
        <v>12</v>
      </c>
      <c r="Q18" t="e">
        <v>#NAME?</v>
      </c>
      <c r="R18">
        <f t="shared" si="397"/>
        <v>-0.26191119139582703</v>
      </c>
      <c r="S18">
        <f t="shared" si="398"/>
        <v>0.26191119139582703</v>
      </c>
    </row>
    <row r="19">
      <c r="A19">
        <v>10.355168084441257</v>
      </c>
      <c r="C19">
        <f t="shared" si="394"/>
        <v>13</v>
      </c>
      <c r="D19" t="e">
        <v>#NAME?</v>
      </c>
      <c r="E19" t="e">
        <f t="shared" si="393"/>
        <v>#NAME?</v>
      </c>
      <c r="F19" t="e">
        <f t="shared" si="395"/>
        <v>#NAME?</v>
      </c>
      <c r="P19">
        <f t="shared" si="396"/>
        <v>13</v>
      </c>
      <c r="Q19" t="e">
        <v>#NAME?</v>
      </c>
      <c r="R19">
        <f t="shared" si="397"/>
        <v>-0.26191119139582703</v>
      </c>
      <c r="S19">
        <f t="shared" si="398"/>
        <v>0.26191119139582703</v>
      </c>
    </row>
    <row r="20">
      <c r="A20">
        <v>10.351660875132662</v>
      </c>
      <c r="C20">
        <f t="shared" si="394"/>
        <v>14</v>
      </c>
      <c r="D20" t="e">
        <v>#NAME?</v>
      </c>
      <c r="E20" t="e">
        <f t="shared" si="393"/>
        <v>#NAME?</v>
      </c>
      <c r="F20" t="e">
        <f t="shared" si="395"/>
        <v>#NAME?</v>
      </c>
      <c r="P20">
        <f t="shared" si="396"/>
        <v>14</v>
      </c>
      <c r="Q20" t="e">
        <v>#NAME?</v>
      </c>
      <c r="R20">
        <f t="shared" si="397"/>
        <v>-0.26191119139582703</v>
      </c>
      <c r="S20">
        <f t="shared" si="398"/>
        <v>0.26191119139582703</v>
      </c>
    </row>
    <row r="21">
      <c r="A21">
        <v>10.363945768938333</v>
      </c>
      <c r="C21">
        <f t="shared" si="394"/>
        <v>15</v>
      </c>
      <c r="D21" t="e">
        <v>#NAME?</v>
      </c>
      <c r="E21" t="e">
        <f t="shared" si="393"/>
        <v>#NAME?</v>
      </c>
      <c r="F21" t="e">
        <f t="shared" si="395"/>
        <v>#NAME?</v>
      </c>
      <c r="P21">
        <f t="shared" si="396"/>
        <v>15</v>
      </c>
      <c r="Q21" t="e">
        <v>#NAME?</v>
      </c>
      <c r="R21">
        <f t="shared" si="397"/>
        <v>-0.26191119139582703</v>
      </c>
      <c r="S21">
        <f t="shared" si="398"/>
        <v>0.26191119139582703</v>
      </c>
    </row>
    <row r="22">
      <c r="A22">
        <v>10.385759368884056</v>
      </c>
      <c r="C22">
        <f t="shared" si="394"/>
        <v>16</v>
      </c>
      <c r="D22" t="e">
        <v>#NAME?</v>
      </c>
      <c r="E22" t="e">
        <f t="shared" si="393"/>
        <v>#NAME?</v>
      </c>
      <c r="F22" t="e">
        <f t="shared" si="395"/>
        <v>#NAME?</v>
      </c>
      <c r="P22">
        <f t="shared" si="396"/>
        <v>16</v>
      </c>
      <c r="Q22" t="e">
        <v>#NAME?</v>
      </c>
      <c r="R22">
        <f t="shared" si="397"/>
        <v>-0.26191119139582703</v>
      </c>
      <c r="S22">
        <f t="shared" si="398"/>
        <v>0.26191119139582703</v>
      </c>
    </row>
    <row r="23">
      <c r="A23">
        <v>10.388749184170845</v>
      </c>
      <c r="C23">
        <f t="shared" si="394"/>
        <v>17</v>
      </c>
      <c r="D23" t="e">
        <v>#NAME?</v>
      </c>
      <c r="E23" t="e">
        <f t="shared" si="393"/>
        <v>#NAME?</v>
      </c>
      <c r="F23" t="e">
        <f t="shared" si="395"/>
        <v>#NAME?</v>
      </c>
      <c r="P23">
        <f t="shared" si="396"/>
        <v>17</v>
      </c>
      <c r="Q23" t="e">
        <v>#NAME?</v>
      </c>
      <c r="R23">
        <f t="shared" si="397"/>
        <v>-0.26191119139582703</v>
      </c>
      <c r="S23">
        <f t="shared" si="398"/>
        <v>0.26191119139582703</v>
      </c>
    </row>
    <row r="24">
      <c r="A24">
        <v>10.430786738995009</v>
      </c>
      <c r="C24">
        <f t="shared" si="394"/>
        <v>18</v>
      </c>
      <c r="D24" t="e">
        <v>#NAME?</v>
      </c>
      <c r="E24" t="e">
        <f t="shared" si="393"/>
        <v>#NAME?</v>
      </c>
      <c r="F24" t="e">
        <f t="shared" si="395"/>
        <v>#NAME?</v>
      </c>
      <c r="P24">
        <f t="shared" si="396"/>
        <v>18</v>
      </c>
      <c r="Q24" t="e">
        <v>#NAME?</v>
      </c>
      <c r="R24">
        <f t="shared" si="397"/>
        <v>-0.26191119139582703</v>
      </c>
      <c r="S24">
        <f t="shared" si="398"/>
        <v>0.26191119139582703</v>
      </c>
    </row>
    <row r="25">
      <c r="A25">
        <v>10.468630892511706</v>
      </c>
      <c r="C25">
        <f t="shared" si="394"/>
        <v>19</v>
      </c>
      <c r="D25" t="e">
        <v>#NAME?</v>
      </c>
      <c r="E25" t="e">
        <f t="shared" si="393"/>
        <v>#NAME?</v>
      </c>
      <c r="F25" t="e">
        <f t="shared" si="395"/>
        <v>#NAME?</v>
      </c>
      <c r="P25">
        <f t="shared" si="396"/>
        <v>19</v>
      </c>
      <c r="Q25" t="e">
        <v>#NAME?</v>
      </c>
      <c r="R25">
        <f t="shared" si="397"/>
        <v>-0.26191119139582703</v>
      </c>
      <c r="S25">
        <f t="shared" si="398"/>
        <v>0.26191119139582703</v>
      </c>
    </row>
    <row r="26">
      <c r="A26">
        <v>10.449033392780306</v>
      </c>
      <c r="C26">
        <f t="shared" si="394"/>
        <v>20</v>
      </c>
      <c r="D26" t="e">
        <v>#NAME?</v>
      </c>
      <c r="E26" t="e">
        <f t="shared" si="393"/>
        <v>#NAME?</v>
      </c>
      <c r="F26" t="e">
        <f t="shared" si="395"/>
        <v>#NAME?</v>
      </c>
      <c r="P26">
        <f t="shared" si="396"/>
        <v>20</v>
      </c>
      <c r="Q26" t="e">
        <v>#NAME?</v>
      </c>
      <c r="R26">
        <f t="shared" si="397"/>
        <v>-0.26191119139582703</v>
      </c>
      <c r="S26">
        <f t="shared" si="398"/>
        <v>0.26191119139582703</v>
      </c>
    </row>
    <row r="27">
      <c r="A27">
        <v>10.432290609532771</v>
      </c>
      <c r="C27">
        <f t="shared" si="394"/>
        <v>21</v>
      </c>
      <c r="D27" t="e">
        <v>#NAME?</v>
      </c>
      <c r="E27" t="e">
        <f t="shared" si="393"/>
        <v>#NAME?</v>
      </c>
      <c r="F27" t="e">
        <f t="shared" si="395"/>
        <v>#NAME?</v>
      </c>
      <c r="P27">
        <f t="shared" si="396"/>
        <v>21</v>
      </c>
      <c r="Q27" t="e">
        <v>#NAME?</v>
      </c>
      <c r="R27">
        <f t="shared" si="397"/>
        <v>-0.26191119139582703</v>
      </c>
      <c r="S27">
        <f t="shared" si="398"/>
        <v>0.26191119139582703</v>
      </c>
    </row>
    <row r="28">
      <c r="A28">
        <v>10.415592357800495</v>
      </c>
      <c r="C28">
        <f t="shared" si="394"/>
        <v>22</v>
      </c>
      <c r="D28" t="e">
        <v>#NAME?</v>
      </c>
      <c r="E28" t="e">
        <f t="shared" si="393"/>
        <v>#NAME?</v>
      </c>
      <c r="F28" t="e">
        <f t="shared" si="395"/>
        <v>#NAME?</v>
      </c>
      <c r="P28">
        <f t="shared" si="396"/>
        <v>22</v>
      </c>
      <c r="Q28" t="e">
        <v>#NAME?</v>
      </c>
      <c r="R28">
        <f t="shared" si="397"/>
        <v>-0.26191119139582703</v>
      </c>
      <c r="S28">
        <f t="shared" si="398"/>
        <v>0.26191119139582703</v>
      </c>
    </row>
    <row r="29">
      <c r="A29">
        <v>10.413883083825608</v>
      </c>
      <c r="C29">
        <f t="shared" si="394"/>
        <v>23</v>
      </c>
      <c r="D29" t="e">
        <v>#NAME?</v>
      </c>
      <c r="E29" t="e">
        <f t="shared" si="393"/>
        <v>#NAME?</v>
      </c>
      <c r="F29" t="e">
        <f t="shared" si="395"/>
        <v>#NAME?</v>
      </c>
      <c r="P29">
        <f t="shared" si="396"/>
        <v>23</v>
      </c>
      <c r="Q29" t="e">
        <v>#NAME?</v>
      </c>
      <c r="R29">
        <f t="shared" si="397"/>
        <v>-0.26191119139582703</v>
      </c>
      <c r="S29">
        <f t="shared" si="398"/>
        <v>0.26191119139582703</v>
      </c>
    </row>
    <row r="30">
      <c r="A30">
        <v>10.408586811928672</v>
      </c>
      <c r="C30">
        <f t="shared" si="394"/>
        <v>24</v>
      </c>
      <c r="D30" t="e">
        <v>#NAME?</v>
      </c>
      <c r="E30" t="e">
        <f t="shared" si="393"/>
        <v>#NAME?</v>
      </c>
      <c r="F30" t="e">
        <f t="shared" si="395"/>
        <v>#NAME?</v>
      </c>
      <c r="P30">
        <f t="shared" si="396"/>
        <v>24</v>
      </c>
      <c r="Q30" t="e">
        <v>#NAME?</v>
      </c>
      <c r="R30">
        <f t="shared" si="397"/>
        <v>-0.26191119139582703</v>
      </c>
      <c r="S30">
        <f t="shared" si="398"/>
        <v>0.26191119139582703</v>
      </c>
    </row>
    <row r="31">
      <c r="A31">
        <v>10.39879336464408</v>
      </c>
      <c r="C31">
        <f t="shared" si="394"/>
        <v>25</v>
      </c>
      <c r="D31" t="e">
        <v>#NAME?</v>
      </c>
      <c r="E31" t="e">
        <f t="shared" si="393"/>
        <v>#NAME?</v>
      </c>
      <c r="F31" t="e">
        <f t="shared" si="395"/>
        <v>#NAME?</v>
      </c>
      <c r="P31">
        <f t="shared" si="396"/>
        <v>25</v>
      </c>
      <c r="Q31" t="e">
        <v>#NAME?</v>
      </c>
      <c r="R31">
        <f t="shared" si="397"/>
        <v>-0.26191119139582703</v>
      </c>
      <c r="S31">
        <f t="shared" si="398"/>
        <v>0.26191119139582703</v>
      </c>
    </row>
    <row r="32">
      <c r="A32">
        <v>10.415352635876781</v>
      </c>
      <c r="C32">
        <f t="shared" si="394"/>
        <v>26</v>
      </c>
      <c r="D32" t="e">
        <v>#NAME?</v>
      </c>
      <c r="E32" t="e">
        <f t="shared" si="393"/>
        <v>#NAME?</v>
      </c>
      <c r="F32" t="e">
        <f t="shared" si="395"/>
        <v>#NAME?</v>
      </c>
      <c r="P32">
        <f t="shared" si="396"/>
        <v>26</v>
      </c>
      <c r="Q32" t="e">
        <v>#NAME?</v>
      </c>
      <c r="R32">
        <f t="shared" si="397"/>
        <v>-0.26191119139582703</v>
      </c>
      <c r="S32">
        <f t="shared" si="398"/>
        <v>0.26191119139582703</v>
      </c>
    </row>
    <row r="33">
      <c r="A33">
        <v>10.442463219718464</v>
      </c>
      <c r="C33">
        <f t="shared" si="394"/>
        <v>27</v>
      </c>
      <c r="D33" t="e">
        <v>#NAME?</v>
      </c>
      <c r="E33" t="e">
        <f t="shared" si="393"/>
        <v>#NAME?</v>
      </c>
      <c r="F33" t="e">
        <f t="shared" si="395"/>
        <v>#NAME?</v>
      </c>
      <c r="P33">
        <f t="shared" si="396"/>
        <v>27</v>
      </c>
      <c r="Q33" t="e">
        <v>#NAME?</v>
      </c>
      <c r="R33">
        <f t="shared" si="397"/>
        <v>-0.26191119139582703</v>
      </c>
      <c r="S33">
        <f t="shared" si="398"/>
        <v>0.26191119139582703</v>
      </c>
    </row>
    <row r="34">
      <c r="A34">
        <v>10.453976099358492</v>
      </c>
      <c r="C34">
        <f t="shared" si="394"/>
        <v>28</v>
      </c>
      <c r="D34" t="e">
        <v>#NAME?</v>
      </c>
      <c r="E34" t="e">
        <f t="shared" si="393"/>
        <v>#NAME?</v>
      </c>
      <c r="F34" t="e">
        <f t="shared" si="395"/>
        <v>#NAME?</v>
      </c>
      <c r="P34">
        <f t="shared" si="396"/>
        <v>28</v>
      </c>
      <c r="Q34" t="e">
        <v>#NAME?</v>
      </c>
      <c r="R34">
        <f t="shared" si="397"/>
        <v>-0.26191119139582703</v>
      </c>
      <c r="S34">
        <f t="shared" si="398"/>
        <v>0.26191119139582703</v>
      </c>
    </row>
    <row r="35">
      <c r="A35">
        <v>10.472516044509661</v>
      </c>
      <c r="C35">
        <f t="shared" si="394"/>
        <v>29</v>
      </c>
      <c r="D35" t="e">
        <v>#NAME?</v>
      </c>
      <c r="E35" t="e">
        <f t="shared" si="393"/>
        <v>#NAME?</v>
      </c>
      <c r="F35" t="e">
        <f t="shared" si="395"/>
        <v>#NAME?</v>
      </c>
      <c r="P35">
        <f t="shared" si="396"/>
        <v>29</v>
      </c>
      <c r="Q35" t="e">
        <v>#NAME?</v>
      </c>
      <c r="R35">
        <f t="shared" si="397"/>
        <v>-0.26191119139582703</v>
      </c>
      <c r="S35">
        <f t="shared" si="398"/>
        <v>0.26191119139582703</v>
      </c>
    </row>
    <row r="36">
      <c r="A36">
        <v>10.50221415747658</v>
      </c>
      <c r="C36" s="14">
        <f t="shared" si="394"/>
        <v>30</v>
      </c>
      <c r="D36" s="14" t="e">
        <v>#NAME?</v>
      </c>
      <c r="E36" s="14" t="e">
        <f t="shared" si="393"/>
        <v>#NAME?</v>
      </c>
      <c r="F36" s="14" t="e">
        <f t="shared" si="395"/>
        <v>#NAME?</v>
      </c>
      <c r="P36" s="14">
        <f t="shared" si="396"/>
        <v>30</v>
      </c>
      <c r="Q36" s="14" t="e">
        <v>#NAME?</v>
      </c>
      <c r="R36" s="14">
        <f t="shared" si="397"/>
        <v>-0.26191119139582703</v>
      </c>
      <c r="S36" s="14">
        <f t="shared" si="398"/>
        <v>0.26191119139582703</v>
      </c>
    </row>
    <row r="37">
      <c r="A37">
        <v>10.511430812581503</v>
      </c>
    </row>
    <row r="38">
      <c r="A38">
        <v>10.48824184666795</v>
      </c>
    </row>
    <row r="39">
      <c r="A39">
        <v>10.453456963419743</v>
      </c>
    </row>
    <row r="40">
      <c r="A40">
        <v>10.461215845988338</v>
      </c>
    </row>
    <row r="41">
      <c r="A41">
        <v>10.451551155906925</v>
      </c>
    </row>
    <row r="42">
      <c r="A42">
        <v>10.454293216478268</v>
      </c>
    </row>
    <row r="43">
      <c r="A43">
        <v>10.464302621047032</v>
      </c>
    </row>
    <row r="44">
      <c r="A44">
        <v>10.47381717044985</v>
      </c>
    </row>
    <row r="45">
      <c r="A45">
        <v>10.47928597812618</v>
      </c>
    </row>
    <row r="46">
      <c r="A46">
        <v>10.4889103145089</v>
      </c>
    </row>
    <row r="47">
      <c r="A47">
        <v>10.502983177014618</v>
      </c>
    </row>
    <row r="48">
      <c r="A48">
        <v>10.561862112494817</v>
      </c>
    </row>
    <row r="49">
      <c r="A49">
        <v>10.59282749475312</v>
      </c>
    </row>
    <row r="50">
      <c r="A50">
        <v>10.555604383538082</v>
      </c>
    </row>
    <row r="51">
      <c r="A51">
        <v>10.537972247530655</v>
      </c>
    </row>
    <row r="52">
      <c r="A52">
        <v>10.556568901025615</v>
      </c>
    </row>
    <row r="53">
      <c r="A53">
        <v>10.551436188256256</v>
      </c>
    </row>
    <row r="54">
      <c r="A54">
        <v>10.541756071586084</v>
      </c>
    </row>
    <row r="55">
      <c r="A55">
        <v>10.554314220524937</v>
      </c>
    </row>
    <row r="56">
      <c r="A56">
        <v>10.561285089105661</v>
      </c>
    </row>
    <row r="57">
      <c r="A57">
        <v>10.577390749729313</v>
      </c>
    </row>
    <row r="58">
      <c r="A58">
        <v>10.600336207512887</v>
      </c>
    </row>
    <row r="59">
      <c r="A59" s="14">
        <v>10.625265063321486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5446429999999998"/>
  </cols>
  <sheetData>
    <row r="1">
      <c r="A1" s="1" t="s">
        <v>335</v>
      </c>
    </row>
    <row r="3">
      <c r="A3">
        <v>1</v>
      </c>
      <c r="B3">
        <v>-0.87534792889873092</v>
      </c>
      <c r="D3" s="4" t="s">
        <v>291</v>
      </c>
      <c r="E3" s="4" t="s">
        <v>292</v>
      </c>
      <c r="F3" s="4" t="s">
        <v>328</v>
      </c>
    </row>
    <row r="4">
      <c r="A4">
        <f t="shared" ref="A4:A10" si="399">A3+1</f>
        <v>2</v>
      </c>
      <c r="B4">
        <v>2.1810846561960719</v>
      </c>
      <c r="D4" s="15">
        <v>1</v>
      </c>
      <c r="E4" t="e">
        <v>#NAME?</v>
      </c>
      <c r="F4" t="e">
        <v>#NAME?</v>
      </c>
    </row>
    <row r="5">
      <c r="A5">
        <f t="shared" si="399"/>
        <v>3</v>
      </c>
      <c r="B5">
        <v>-0.74146414944076544</v>
      </c>
      <c r="D5" s="15">
        <f t="shared" ref="D5:D10" si="400">D4+1</f>
        <v>2</v>
      </c>
      <c r="E5" t="e">
        <v>#NAME?</v>
      </c>
      <c r="F5" t="e">
        <v>#NAME?</v>
      </c>
    </row>
    <row r="6">
      <c r="A6">
        <f t="shared" si="399"/>
        <v>4</v>
      </c>
      <c r="B6">
        <v>0.79927287991141249</v>
      </c>
      <c r="D6" s="15">
        <f t="shared" si="400"/>
        <v>3</v>
      </c>
      <c r="E6" t="e">
        <v>#NAME?</v>
      </c>
      <c r="F6" t="e">
        <v>#NAME?</v>
      </c>
    </row>
    <row r="7">
      <c r="A7">
        <f t="shared" si="399"/>
        <v>5</v>
      </c>
      <c r="B7">
        <v>1.3671695212926984</v>
      </c>
      <c r="D7" s="15">
        <f t="shared" si="400"/>
        <v>4</v>
      </c>
      <c r="E7" t="e">
        <v>#NAME?</v>
      </c>
      <c r="F7" t="e">
        <v>#NAME?</v>
      </c>
    </row>
    <row r="8">
      <c r="A8">
        <f t="shared" si="399"/>
        <v>6</v>
      </c>
      <c r="B8">
        <v>0.89321582945049305</v>
      </c>
      <c r="D8" s="15">
        <f t="shared" si="400"/>
        <v>5</v>
      </c>
      <c r="E8" t="e">
        <v>#NAME?</v>
      </c>
      <c r="F8" t="e">
        <v>#NAME?</v>
      </c>
    </row>
    <row r="9">
      <c r="A9">
        <f t="shared" si="399"/>
        <v>7</v>
      </c>
      <c r="B9">
        <v>0.60867978054589367</v>
      </c>
      <c r="D9" s="15">
        <f t="shared" si="400"/>
        <v>6</v>
      </c>
      <c r="E9" t="e">
        <v>#NAME?</v>
      </c>
      <c r="F9" t="e">
        <v>#NAME?</v>
      </c>
    </row>
    <row r="10">
      <c r="A10">
        <f t="shared" si="399"/>
        <v>8</v>
      </c>
      <c r="B10">
        <v>7.9728608638023946e-02</v>
      </c>
      <c r="D10" s="15">
        <f t="shared" si="400"/>
        <v>7</v>
      </c>
      <c r="E10" t="e">
        <v>#NAME?</v>
      </c>
      <c r="F10" t="e">
        <v>#NAME?</v>
      </c>
    </row>
    <row r="11">
      <c r="A11">
        <f t="shared" ref="A11:A74" si="401">A10+1</f>
        <v>9</v>
      </c>
      <c r="B11">
        <v>0.10834483687178856</v>
      </c>
      <c r="D11" s="15">
        <f t="shared" ref="D11:D43" si="402">D10+1</f>
        <v>8</v>
      </c>
      <c r="E11" t="e">
        <v>#NAME?</v>
      </c>
      <c r="F11" t="e">
        <v>#NAME?</v>
      </c>
    </row>
    <row r="12">
      <c r="A12">
        <f t="shared" si="401"/>
        <v>10</v>
      </c>
      <c r="B12">
        <v>0.97544728048226914</v>
      </c>
      <c r="D12" s="15">
        <f t="shared" si="402"/>
        <v>9</v>
      </c>
      <c r="E12" t="e">
        <v>#NAME?</v>
      </c>
      <c r="F12" t="e">
        <v>#NAME?</v>
      </c>
    </row>
    <row r="13">
      <c r="A13">
        <f t="shared" si="401"/>
        <v>11</v>
      </c>
      <c r="B13">
        <v>-4.540809146572599e-02</v>
      </c>
      <c r="D13" s="15">
        <f t="shared" si="402"/>
        <v>10</v>
      </c>
      <c r="E13" t="e">
        <v>#NAME?</v>
      </c>
      <c r="F13" t="e">
        <v>#NAME?</v>
      </c>
    </row>
    <row r="14">
      <c r="A14">
        <f t="shared" si="401"/>
        <v>12</v>
      </c>
      <c r="B14">
        <v>-1.6656957332189668</v>
      </c>
      <c r="D14" s="15">
        <f t="shared" si="402"/>
        <v>11</v>
      </c>
      <c r="E14" t="e">
        <v>#NAME?</v>
      </c>
      <c r="F14" t="e">
        <v>#NAME?</v>
      </c>
    </row>
    <row r="15">
      <c r="A15">
        <f t="shared" si="401"/>
        <v>13</v>
      </c>
      <c r="B15">
        <v>-0.69961361487898788</v>
      </c>
      <c r="D15" s="15">
        <f t="shared" si="402"/>
        <v>12</v>
      </c>
      <c r="E15" t="e">
        <v>#NAME?</v>
      </c>
      <c r="F15" t="e">
        <v>#NAME?</v>
      </c>
    </row>
    <row r="16">
      <c r="A16">
        <f t="shared" si="401"/>
        <v>14</v>
      </c>
      <c r="B16">
        <v>0.7377609118471925</v>
      </c>
      <c r="D16" s="15">
        <f t="shared" si="402"/>
        <v>13</v>
      </c>
      <c r="E16" t="e">
        <v>#NAME?</v>
      </c>
      <c r="F16" t="e">
        <v>#NAME?</v>
      </c>
    </row>
    <row r="17">
      <c r="A17">
        <f t="shared" si="401"/>
        <v>15</v>
      </c>
      <c r="B17">
        <v>1.3677358521530161</v>
      </c>
      <c r="D17" s="15">
        <f t="shared" si="402"/>
        <v>14</v>
      </c>
      <c r="E17" t="e">
        <v>#NAME?</v>
      </c>
      <c r="F17" t="e">
        <v>#NAME?</v>
      </c>
    </row>
    <row r="18">
      <c r="A18">
        <f t="shared" si="401"/>
        <v>16</v>
      </c>
      <c r="B18">
        <v>-8.4435176136184509e-02</v>
      </c>
      <c r="D18" s="15">
        <f t="shared" si="402"/>
        <v>15</v>
      </c>
      <c r="E18" t="e">
        <v>#NAME?</v>
      </c>
      <c r="F18" t="e">
        <v>#NAME?</v>
      </c>
    </row>
    <row r="19">
      <c r="A19">
        <f t="shared" si="401"/>
        <v>17</v>
      </c>
      <c r="B19">
        <v>0.85106579331766441</v>
      </c>
      <c r="D19" s="15">
        <f t="shared" si="402"/>
        <v>16</v>
      </c>
      <c r="E19" t="e">
        <v>#NAME?</v>
      </c>
      <c r="F19" t="e">
        <v>#NAME?</v>
      </c>
      <c r="Q19" t="s">
        <v>336</v>
      </c>
      <c r="T19" t="s">
        <v>337</v>
      </c>
    </row>
    <row r="20">
      <c r="A20">
        <f t="shared" si="401"/>
        <v>18</v>
      </c>
      <c r="B20">
        <v>-1.7562333037292319</v>
      </c>
      <c r="D20" s="15">
        <f t="shared" si="402"/>
        <v>17</v>
      </c>
      <c r="E20" t="e">
        <v>#NAME?</v>
      </c>
      <c r="F20" t="e">
        <v>#NAME?</v>
      </c>
    </row>
    <row r="21">
      <c r="A21">
        <f t="shared" si="401"/>
        <v>19</v>
      </c>
      <c r="B21">
        <v>5.5644922024413325e-02</v>
      </c>
      <c r="D21" s="15">
        <f t="shared" si="402"/>
        <v>18</v>
      </c>
      <c r="E21" t="e">
        <v>#NAME?</v>
      </c>
      <c r="F21" t="e">
        <v>#NAME?</v>
      </c>
      <c r="Q21" t="s">
        <v>338</v>
      </c>
      <c r="R21" s="7">
        <f>NORMSINV(0.975)/SQRT(300)</f>
        <v>0.113158567829828</v>
      </c>
      <c r="T21" t="s">
        <v>176</v>
      </c>
      <c r="U21" s="7">
        <f>A302</f>
        <v>300</v>
      </c>
    </row>
    <row r="22">
      <c r="A22">
        <f t="shared" si="401"/>
        <v>20</v>
      </c>
      <c r="B22">
        <v>-1.4999752543160203</v>
      </c>
      <c r="D22" s="15">
        <f t="shared" si="402"/>
        <v>19</v>
      </c>
      <c r="E22" t="e">
        <v>#NAME?</v>
      </c>
      <c r="F22" t="e">
        <v>#NAME?</v>
      </c>
      <c r="Q22" t="s">
        <v>339</v>
      </c>
      <c r="R22" s="10">
        <f>COUNTIF(E4:E43,"&gt;="&amp;R21)</f>
        <v>0</v>
      </c>
      <c r="T22" t="s">
        <v>294</v>
      </c>
      <c r="U22" s="10">
        <f>D43</f>
        <v>40</v>
      </c>
    </row>
    <row r="23">
      <c r="A23">
        <f t="shared" si="401"/>
        <v>21</v>
      </c>
      <c r="B23">
        <v>1.3121465443163918</v>
      </c>
      <c r="D23" s="15">
        <f t="shared" si="402"/>
        <v>20</v>
      </c>
      <c r="E23" t="e">
        <v>#NAME?</v>
      </c>
      <c r="F23" t="e">
        <v>#NAME?</v>
      </c>
      <c r="Q23" t="s">
        <v>340</v>
      </c>
      <c r="R23" s="13">
        <f>COUNTIF(E4:E43,"&lt;="&amp;-R21)</f>
        <v>0</v>
      </c>
      <c r="T23" t="s">
        <v>203</v>
      </c>
      <c r="U23" s="10">
        <v>5.0000000000000003e-02</v>
      </c>
    </row>
    <row r="24">
      <c r="A24">
        <f t="shared" si="401"/>
        <v>22</v>
      </c>
      <c r="B24">
        <v>-0.92935196240406481</v>
      </c>
      <c r="D24" s="15">
        <f t="shared" si="402"/>
        <v>21</v>
      </c>
      <c r="E24" t="e">
        <v>#NAME?</v>
      </c>
      <c r="F24" t="e">
        <v>#NAME?</v>
      </c>
      <c r="T24" t="s">
        <v>297</v>
      </c>
      <c r="U24" s="10">
        <f>CHIINV(U23/2,U22)</f>
        <v>59.341697924537598</v>
      </c>
    </row>
    <row r="25">
      <c r="A25">
        <f t="shared" si="401"/>
        <v>23</v>
      </c>
      <c r="B25">
        <v>-0.74417826905318218</v>
      </c>
      <c r="D25" s="15">
        <f t="shared" si="402"/>
        <v>22</v>
      </c>
      <c r="E25" t="e">
        <v>#NAME?</v>
      </c>
      <c r="F25" t="e">
        <v>#NAME?</v>
      </c>
      <c r="T25" t="s">
        <v>304</v>
      </c>
      <c r="U25" s="10" t="e">
        <f>U21*(U21+2)*SUMPRODUCT((E4:E43)^2/(U21-E4:E43))</f>
        <v>#NAME?</v>
      </c>
    </row>
    <row r="26">
      <c r="A26">
        <f t="shared" si="401"/>
        <v>24</v>
      </c>
      <c r="B26">
        <v>-0.80984109568170193</v>
      </c>
      <c r="D26" s="15">
        <f t="shared" si="402"/>
        <v>23</v>
      </c>
      <c r="E26" t="e">
        <v>#NAME?</v>
      </c>
      <c r="F26" t="e">
        <v>#NAME?</v>
      </c>
      <c r="T26" t="s">
        <v>189</v>
      </c>
      <c r="U26" s="10" t="e">
        <f>CHIDIST(U25,U22)</f>
        <v>#NAME?</v>
      </c>
    </row>
    <row r="27">
      <c r="A27">
        <f t="shared" si="401"/>
        <v>25</v>
      </c>
      <c r="B27">
        <v>-0.77945228767984143</v>
      </c>
      <c r="D27" s="15">
        <f t="shared" si="402"/>
        <v>24</v>
      </c>
      <c r="E27" t="e">
        <v>#NAME?</v>
      </c>
      <c r="F27" t="e">
        <v>#NAME?</v>
      </c>
      <c r="T27" t="s">
        <v>204</v>
      </c>
      <c r="U27" s="21" t="e">
        <f>IF(U26&lt;U23,"yes","no")</f>
        <v>#NAME?</v>
      </c>
    </row>
    <row r="28">
      <c r="A28">
        <f t="shared" si="401"/>
        <v>26</v>
      </c>
      <c r="B28">
        <v>-0.89700176840844148</v>
      </c>
      <c r="D28" s="15">
        <f t="shared" si="402"/>
        <v>25</v>
      </c>
      <c r="E28" t="e">
        <v>#NAME?</v>
      </c>
      <c r="F28" t="e">
        <v>#NAME?</v>
      </c>
    </row>
    <row r="29">
      <c r="A29">
        <f t="shared" si="401"/>
        <v>27</v>
      </c>
      <c r="B29">
        <v>-0.92377468877995061</v>
      </c>
      <c r="D29" s="15">
        <f t="shared" si="402"/>
        <v>26</v>
      </c>
      <c r="E29" t="e">
        <v>#NAME?</v>
      </c>
      <c r="F29" t="e">
        <v>#NAME?</v>
      </c>
    </row>
    <row r="30">
      <c r="A30">
        <f t="shared" si="401"/>
        <v>28</v>
      </c>
      <c r="B30">
        <v>0.39381572734127457</v>
      </c>
      <c r="D30" s="15">
        <f t="shared" si="402"/>
        <v>27</v>
      </c>
      <c r="E30" t="e">
        <v>#NAME?</v>
      </c>
      <c r="F30" t="e">
        <v>#NAME?</v>
      </c>
    </row>
    <row r="31">
      <c r="A31">
        <f t="shared" si="401"/>
        <v>29</v>
      </c>
      <c r="B31">
        <v>0.26044842193574846</v>
      </c>
      <c r="D31" s="15">
        <f t="shared" si="402"/>
        <v>28</v>
      </c>
      <c r="E31" t="e">
        <v>#NAME?</v>
      </c>
      <c r="F31" t="e">
        <v>#NAME?</v>
      </c>
    </row>
    <row r="32">
      <c r="A32">
        <f t="shared" si="401"/>
        <v>30</v>
      </c>
      <c r="B32">
        <v>-0.7304641152369723</v>
      </c>
      <c r="D32" s="15">
        <f t="shared" si="402"/>
        <v>29</v>
      </c>
      <c r="E32" t="e">
        <v>#NAME?</v>
      </c>
      <c r="F32" t="e">
        <v>#NAME?</v>
      </c>
    </row>
    <row r="33">
      <c r="A33">
        <f t="shared" si="401"/>
        <v>31</v>
      </c>
      <c r="B33">
        <v>-1.3223938903505763</v>
      </c>
      <c r="D33" s="15">
        <f t="shared" si="402"/>
        <v>30</v>
      </c>
      <c r="E33" t="e">
        <v>#NAME?</v>
      </c>
      <c r="F33" t="e">
        <v>#NAME?</v>
      </c>
    </row>
    <row r="34">
      <c r="A34">
        <f t="shared" si="401"/>
        <v>32</v>
      </c>
      <c r="B34">
        <v>-0.375138502108117</v>
      </c>
      <c r="D34" s="15">
        <f t="shared" si="402"/>
        <v>31</v>
      </c>
      <c r="E34" t="e">
        <v>#NAME?</v>
      </c>
      <c r="F34" t="e">
        <v>#NAME?</v>
      </c>
    </row>
    <row r="35">
      <c r="A35">
        <f t="shared" si="401"/>
        <v>33</v>
      </c>
      <c r="B35">
        <v>-0.17790957693684259</v>
      </c>
      <c r="D35" s="15">
        <f t="shared" si="402"/>
        <v>32</v>
      </c>
      <c r="E35" t="e">
        <v>#NAME?</v>
      </c>
      <c r="F35" t="e">
        <v>#NAME?</v>
      </c>
    </row>
    <row r="36">
      <c r="A36">
        <f t="shared" si="401"/>
        <v>34</v>
      </c>
      <c r="B36">
        <v>0.18760947444834478</v>
      </c>
      <c r="D36" s="15">
        <f t="shared" si="402"/>
        <v>33</v>
      </c>
      <c r="E36" t="e">
        <v>#NAME?</v>
      </c>
      <c r="F36" t="e">
        <v>#NAME?</v>
      </c>
    </row>
    <row r="37">
      <c r="A37">
        <f t="shared" si="401"/>
        <v>35</v>
      </c>
      <c r="B37">
        <v>0.64942363155470284</v>
      </c>
      <c r="D37" s="15">
        <f t="shared" si="402"/>
        <v>34</v>
      </c>
      <c r="E37" t="e">
        <v>#NAME?</v>
      </c>
      <c r="F37" t="e">
        <v>#NAME?</v>
      </c>
    </row>
    <row r="38">
      <c r="A38">
        <f t="shared" si="401"/>
        <v>36</v>
      </c>
      <c r="B38">
        <v>-0.8378267589866496</v>
      </c>
      <c r="D38" s="15">
        <f t="shared" si="402"/>
        <v>35</v>
      </c>
      <c r="E38" t="e">
        <v>#NAME?</v>
      </c>
      <c r="F38" t="e">
        <v>#NAME?</v>
      </c>
    </row>
    <row r="39">
      <c r="A39">
        <f t="shared" si="401"/>
        <v>37</v>
      </c>
      <c r="B39">
        <v>-0.25645272824250287</v>
      </c>
      <c r="D39" s="15">
        <f t="shared" si="402"/>
        <v>36</v>
      </c>
      <c r="E39" t="e">
        <v>#NAME?</v>
      </c>
      <c r="F39" t="e">
        <v>#NAME?</v>
      </c>
    </row>
    <row r="40">
      <c r="A40">
        <f t="shared" si="401"/>
        <v>38</v>
      </c>
      <c r="B40">
        <v>0.80076728637194017</v>
      </c>
      <c r="D40" s="15">
        <f t="shared" si="402"/>
        <v>37</v>
      </c>
      <c r="E40" t="e">
        <v>#NAME?</v>
      </c>
      <c r="F40" t="e">
        <v>#NAME?</v>
      </c>
    </row>
    <row r="41">
      <c r="A41">
        <f t="shared" si="401"/>
        <v>39</v>
      </c>
      <c r="B41">
        <v>0.17132102319533363</v>
      </c>
      <c r="D41" s="15">
        <f t="shared" si="402"/>
        <v>38</v>
      </c>
      <c r="E41" t="e">
        <v>#NAME?</v>
      </c>
      <c r="F41" t="e">
        <v>#NAME?</v>
      </c>
    </row>
    <row r="42">
      <c r="A42">
        <f t="shared" si="401"/>
        <v>40</v>
      </c>
      <c r="B42">
        <v>1.3304473394306311</v>
      </c>
      <c r="D42" s="15">
        <f t="shared" si="402"/>
        <v>39</v>
      </c>
      <c r="E42" t="e">
        <v>#NAME?</v>
      </c>
      <c r="F42" t="e">
        <v>#NAME?</v>
      </c>
    </row>
    <row r="43">
      <c r="A43">
        <f t="shared" si="401"/>
        <v>41</v>
      </c>
      <c r="B43">
        <v>-0.64774417264201922</v>
      </c>
      <c r="D43" s="17">
        <f t="shared" si="402"/>
        <v>40</v>
      </c>
      <c r="E43" s="14" t="e">
        <v>#NAME?</v>
      </c>
      <c r="F43" s="14" t="e">
        <v>#NAME?</v>
      </c>
    </row>
    <row r="44">
      <c r="A44">
        <f t="shared" si="401"/>
        <v>42</v>
      </c>
      <c r="B44">
        <v>0.23112218579937149</v>
      </c>
    </row>
    <row r="45">
      <c r="A45">
        <f t="shared" si="401"/>
        <v>43</v>
      </c>
      <c r="B45">
        <v>-1.1908591310165122</v>
      </c>
    </row>
    <row r="46">
      <c r="A46">
        <f t="shared" si="401"/>
        <v>44</v>
      </c>
      <c r="B46">
        <v>-0.58697839823262044</v>
      </c>
    </row>
    <row r="47">
      <c r="A47">
        <f t="shared" si="401"/>
        <v>45</v>
      </c>
      <c r="B47">
        <v>0.14645782306371141</v>
      </c>
    </row>
    <row r="48">
      <c r="A48">
        <f t="shared" si="401"/>
        <v>46</v>
      </c>
      <c r="B48">
        <v>0.51118479699351216</v>
      </c>
      <c r="D48" s="15" t="s">
        <v>341</v>
      </c>
      <c r="E48" s="18">
        <f>VAR(B3:B302)</f>
        <v>1.0092262459497101</v>
      </c>
    </row>
    <row r="49">
      <c r="A49">
        <f t="shared" si="401"/>
        <v>47</v>
      </c>
      <c r="B49">
        <v>0.41283210020969163</v>
      </c>
    </row>
    <row r="50">
      <c r="A50">
        <f t="shared" si="401"/>
        <v>48</v>
      </c>
      <c r="B50">
        <v>-1.1518928144615486</v>
      </c>
    </row>
    <row r="51">
      <c r="A51">
        <f t="shared" si="401"/>
        <v>49</v>
      </c>
      <c r="B51">
        <v>-1.714500336448217</v>
      </c>
    </row>
    <row r="52">
      <c r="A52">
        <f t="shared" si="401"/>
        <v>50</v>
      </c>
      <c r="B52">
        <v>-0.6763431164771464</v>
      </c>
    </row>
    <row r="53">
      <c r="A53">
        <f t="shared" si="401"/>
        <v>51</v>
      </c>
      <c r="B53">
        <v>-1.7051703495569444</v>
      </c>
    </row>
    <row r="54">
      <c r="A54">
        <f t="shared" si="401"/>
        <v>52</v>
      </c>
      <c r="B54">
        <v>0.92720693242345842</v>
      </c>
    </row>
    <row r="55">
      <c r="A55">
        <f t="shared" si="401"/>
        <v>53</v>
      </c>
      <c r="B55">
        <v>0.79867749869961879</v>
      </c>
    </row>
    <row r="56">
      <c r="A56">
        <f t="shared" si="401"/>
        <v>54</v>
      </c>
      <c r="B56">
        <v>-1.9186791235097063</v>
      </c>
    </row>
    <row r="57">
      <c r="A57">
        <f t="shared" si="401"/>
        <v>55</v>
      </c>
      <c r="B57">
        <v>-0.21246685047089647</v>
      </c>
    </row>
    <row r="58">
      <c r="A58">
        <f t="shared" si="401"/>
        <v>56</v>
      </c>
      <c r="B58">
        <v>0.22347759560070884</v>
      </c>
    </row>
    <row r="59">
      <c r="A59">
        <f t="shared" si="401"/>
        <v>57</v>
      </c>
      <c r="B59">
        <v>-0.69417843738228535</v>
      </c>
    </row>
    <row r="60">
      <c r="A60">
        <f t="shared" si="401"/>
        <v>58</v>
      </c>
      <c r="B60">
        <v>-0.52508802489817441</v>
      </c>
    </row>
    <row r="61">
      <c r="A61">
        <f t="shared" si="401"/>
        <v>59</v>
      </c>
      <c r="B61">
        <v>-0.21390313311520254</v>
      </c>
    </row>
    <row r="62">
      <c r="A62">
        <f t="shared" si="401"/>
        <v>60</v>
      </c>
      <c r="B62">
        <v>-0.77011256315530385</v>
      </c>
    </row>
    <row r="63">
      <c r="A63">
        <f t="shared" si="401"/>
        <v>61</v>
      </c>
      <c r="B63">
        <v>0.62886336604833126</v>
      </c>
    </row>
    <row r="64">
      <c r="A64">
        <f t="shared" si="401"/>
        <v>62</v>
      </c>
      <c r="B64">
        <v>0.71911176422781553</v>
      </c>
    </row>
    <row r="65">
      <c r="A65">
        <f t="shared" si="401"/>
        <v>63</v>
      </c>
      <c r="B65">
        <v>-1.2253947174907458</v>
      </c>
    </row>
    <row r="66">
      <c r="A66">
        <f t="shared" si="401"/>
        <v>64</v>
      </c>
      <c r="B66">
        <v>-1.6276680409229201</v>
      </c>
    </row>
    <row r="67">
      <c r="A67">
        <f t="shared" si="401"/>
        <v>65</v>
      </c>
      <c r="B67">
        <v>-1.7249086876917117</v>
      </c>
    </row>
    <row r="68">
      <c r="A68">
        <f t="shared" si="401"/>
        <v>66</v>
      </c>
      <c r="B68">
        <v>0.1568724785003896</v>
      </c>
    </row>
    <row r="69">
      <c r="A69">
        <f t="shared" si="401"/>
        <v>67</v>
      </c>
      <c r="B69">
        <v>-0.55144612655713532</v>
      </c>
    </row>
    <row r="70">
      <c r="A70">
        <f t="shared" si="401"/>
        <v>68</v>
      </c>
      <c r="B70">
        <v>-0.33639118912359922</v>
      </c>
    </row>
    <row r="71">
      <c r="A71">
        <f t="shared" si="401"/>
        <v>69</v>
      </c>
      <c r="B71">
        <v>0.67595780460593879</v>
      </c>
    </row>
    <row r="72">
      <c r="A72">
        <f t="shared" si="401"/>
        <v>70</v>
      </c>
      <c r="B72">
        <v>-0.34746228445575678</v>
      </c>
    </row>
    <row r="73">
      <c r="A73">
        <f t="shared" si="401"/>
        <v>71</v>
      </c>
      <c r="B73">
        <v>-0.95467954258554522</v>
      </c>
    </row>
    <row r="74">
      <c r="A74">
        <f t="shared" si="401"/>
        <v>72</v>
      </c>
      <c r="B74">
        <v>1.1345992791131074</v>
      </c>
    </row>
    <row r="75">
      <c r="A75">
        <f t="shared" ref="A75:A100" si="403">A74+1</f>
        <v>73</v>
      </c>
      <c r="B75">
        <v>-1.9024079757864096</v>
      </c>
    </row>
    <row r="76">
      <c r="A76">
        <f t="shared" si="403"/>
        <v>74</v>
      </c>
      <c r="B76">
        <v>-1.5775722093396654</v>
      </c>
    </row>
    <row r="77">
      <c r="A77">
        <f t="shared" si="403"/>
        <v>75</v>
      </c>
      <c r="B77">
        <v>0.73630384944100336</v>
      </c>
    </row>
    <row r="78">
      <c r="A78">
        <f t="shared" si="403"/>
        <v>76</v>
      </c>
      <c r="B78">
        <v>-2.5124250897461445e-03</v>
      </c>
    </row>
    <row r="79">
      <c r="A79">
        <f t="shared" si="403"/>
        <v>77</v>
      </c>
      <c r="B79">
        <v>1.2160261364934226</v>
      </c>
    </row>
    <row r="80">
      <c r="A80">
        <f t="shared" si="403"/>
        <v>78</v>
      </c>
      <c r="B80">
        <v>0.95362676313095762</v>
      </c>
    </row>
    <row r="81">
      <c r="A81">
        <f t="shared" si="403"/>
        <v>79</v>
      </c>
      <c r="B81">
        <v>-0.849944630824923</v>
      </c>
    </row>
    <row r="82">
      <c r="A82">
        <f t="shared" si="403"/>
        <v>80</v>
      </c>
      <c r="B82">
        <v>-1.1464946076084193</v>
      </c>
    </row>
    <row r="83">
      <c r="A83">
        <f t="shared" si="403"/>
        <v>81</v>
      </c>
      <c r="B83">
        <v>-1.2678651979968665</v>
      </c>
    </row>
    <row r="84">
      <c r="A84">
        <f t="shared" si="403"/>
        <v>82</v>
      </c>
      <c r="B84">
        <v>0.19309097455918689</v>
      </c>
    </row>
    <row r="85">
      <c r="A85">
        <f t="shared" si="403"/>
        <v>83</v>
      </c>
      <c r="B85">
        <v>-0.4661633770538528</v>
      </c>
    </row>
    <row r="86">
      <c r="A86">
        <f t="shared" si="403"/>
        <v>84</v>
      </c>
      <c r="B86">
        <v>-0.55136204824993651</v>
      </c>
    </row>
    <row r="87">
      <c r="A87">
        <f t="shared" si="403"/>
        <v>85</v>
      </c>
      <c r="B87">
        <v>-0.43242510811594725</v>
      </c>
    </row>
    <row r="88">
      <c r="A88">
        <f t="shared" si="403"/>
        <v>86</v>
      </c>
      <c r="B88">
        <v>-0.95611009588774321</v>
      </c>
    </row>
    <row r="89">
      <c r="A89">
        <f t="shared" si="403"/>
        <v>87</v>
      </c>
      <c r="B89">
        <v>-0.36199971365228806</v>
      </c>
    </row>
    <row r="90">
      <c r="A90">
        <f t="shared" si="403"/>
        <v>88</v>
      </c>
      <c r="B90">
        <v>-0.89545172090434755</v>
      </c>
    </row>
    <row r="91">
      <c r="A91">
        <f t="shared" si="403"/>
        <v>89</v>
      </c>
      <c r="B91">
        <v>-1.0839001596194184</v>
      </c>
    </row>
    <row r="92">
      <c r="A92">
        <f t="shared" si="403"/>
        <v>90</v>
      </c>
      <c r="B92">
        <v>-0.90592515061569556</v>
      </c>
    </row>
    <row r="93">
      <c r="A93">
        <f t="shared" si="403"/>
        <v>91</v>
      </c>
      <c r="B93">
        <v>1.9715981926018566</v>
      </c>
    </row>
    <row r="94">
      <c r="A94">
        <f t="shared" si="403"/>
        <v>92</v>
      </c>
      <c r="B94">
        <v>-0.93674386716078961</v>
      </c>
    </row>
    <row r="95">
      <c r="A95">
        <f t="shared" si="403"/>
        <v>93</v>
      </c>
      <c r="B95">
        <v>0.72289835781158418</v>
      </c>
    </row>
    <row r="96">
      <c r="A96">
        <f t="shared" si="403"/>
        <v>94</v>
      </c>
      <c r="B96">
        <v>0.10059071518272274</v>
      </c>
    </row>
    <row r="97">
      <c r="A97">
        <f t="shared" si="403"/>
        <v>95</v>
      </c>
      <c r="B97">
        <v>-0.68822544568711197</v>
      </c>
    </row>
    <row r="98">
      <c r="A98">
        <f t="shared" si="403"/>
        <v>96</v>
      </c>
      <c r="B98">
        <v>0.31139799472911611</v>
      </c>
    </row>
    <row r="99">
      <c r="A99">
        <f t="shared" si="403"/>
        <v>97</v>
      </c>
      <c r="B99">
        <v>-0.72871379496340993</v>
      </c>
    </row>
    <row r="100">
      <c r="A100">
        <f t="shared" si="403"/>
        <v>98</v>
      </c>
      <c r="B100">
        <v>0.3291440216700095</v>
      </c>
    </row>
    <row r="101">
      <c r="A101">
        <f t="shared" ref="A101:A164" si="404">A100+1</f>
        <v>99</v>
      </c>
      <c r="B101">
        <v>-1.0928034368407673</v>
      </c>
    </row>
    <row r="102">
      <c r="A102">
        <f t="shared" si="404"/>
        <v>100</v>
      </c>
      <c r="B102">
        <v>-0.36144205122381406</v>
      </c>
    </row>
    <row r="103">
      <c r="A103">
        <f t="shared" si="404"/>
        <v>101</v>
      </c>
      <c r="B103">
        <v>0.395022503773232</v>
      </c>
    </row>
    <row r="104">
      <c r="A104">
        <f t="shared" si="404"/>
        <v>102</v>
      </c>
      <c r="B104">
        <v>0.55490150471203104</v>
      </c>
    </row>
    <row r="105">
      <c r="A105">
        <f t="shared" si="404"/>
        <v>103</v>
      </c>
      <c r="B105">
        <v>-1.0609585234072327</v>
      </c>
    </row>
    <row r="106">
      <c r="A106">
        <f t="shared" si="404"/>
        <v>104</v>
      </c>
      <c r="B106">
        <v>0.57296923981852643</v>
      </c>
    </row>
    <row r="107">
      <c r="A107">
        <f t="shared" si="404"/>
        <v>105</v>
      </c>
      <c r="B107">
        <v>1.6947693025233539</v>
      </c>
    </row>
    <row r="108">
      <c r="A108">
        <f t="shared" si="404"/>
        <v>106</v>
      </c>
      <c r="B108">
        <v>-0.75084067280203204</v>
      </c>
    </row>
    <row r="109">
      <c r="A109">
        <f t="shared" si="404"/>
        <v>107</v>
      </c>
      <c r="B109">
        <v>-0.18200666611081961</v>
      </c>
    </row>
    <row r="110">
      <c r="A110">
        <f t="shared" si="404"/>
        <v>108</v>
      </c>
      <c r="B110">
        <v>-1.3608518152757216</v>
      </c>
    </row>
    <row r="111">
      <c r="A111">
        <f t="shared" si="404"/>
        <v>109</v>
      </c>
      <c r="B111">
        <v>0.87442125663643488</v>
      </c>
    </row>
    <row r="112">
      <c r="A112">
        <f t="shared" si="404"/>
        <v>110</v>
      </c>
      <c r="B112">
        <v>-0.93977303717345428</v>
      </c>
    </row>
    <row r="113">
      <c r="A113">
        <f t="shared" si="404"/>
        <v>111</v>
      </c>
      <c r="B113">
        <v>0.73079253133461108</v>
      </c>
    </row>
    <row r="114">
      <c r="A114">
        <f t="shared" si="404"/>
        <v>112</v>
      </c>
      <c r="B114">
        <v>0.39791421325749043</v>
      </c>
    </row>
    <row r="115">
      <c r="A115">
        <f t="shared" si="404"/>
        <v>113</v>
      </c>
      <c r="B115">
        <v>1.0686237467316011</v>
      </c>
    </row>
    <row r="116">
      <c r="A116">
        <f t="shared" si="404"/>
        <v>114</v>
      </c>
      <c r="B116">
        <v>-1.6025402101717718</v>
      </c>
    </row>
    <row r="117">
      <c r="A117">
        <f t="shared" si="404"/>
        <v>115</v>
      </c>
      <c r="B117">
        <v>-0.82849734192329039</v>
      </c>
    </row>
    <row r="118">
      <c r="A118">
        <f t="shared" si="404"/>
        <v>116</v>
      </c>
      <c r="B118">
        <v>2.5762316296408123</v>
      </c>
    </row>
    <row r="119">
      <c r="A119">
        <f t="shared" si="404"/>
        <v>117</v>
      </c>
      <c r="B119">
        <v>0.7153691126888303</v>
      </c>
    </row>
    <row r="120">
      <c r="A120">
        <f t="shared" si="404"/>
        <v>118</v>
      </c>
      <c r="B120">
        <v>0.22517062184870579</v>
      </c>
    </row>
    <row r="121">
      <c r="A121">
        <f t="shared" si="404"/>
        <v>119</v>
      </c>
      <c r="B121">
        <v>-0.99191710812424705</v>
      </c>
    </row>
    <row r="122">
      <c r="A122">
        <f t="shared" si="404"/>
        <v>120</v>
      </c>
      <c r="B122">
        <v>0.68372199226252195</v>
      </c>
    </row>
    <row r="123">
      <c r="A123">
        <f t="shared" si="404"/>
        <v>121</v>
      </c>
      <c r="B123">
        <v>-1.1594542551375688</v>
      </c>
    </row>
    <row r="124">
      <c r="A124">
        <f t="shared" si="404"/>
        <v>122</v>
      </c>
      <c r="B124">
        <v>-2.2789047237025857</v>
      </c>
    </row>
    <row r="125">
      <c r="A125">
        <f t="shared" si="404"/>
        <v>123</v>
      </c>
      <c r="B125">
        <v>0.88438754816667264</v>
      </c>
    </row>
    <row r="126">
      <c r="A126">
        <f t="shared" si="404"/>
        <v>124</v>
      </c>
      <c r="B126">
        <v>1.9175878939442093</v>
      </c>
    </row>
    <row r="127">
      <c r="A127">
        <f t="shared" si="404"/>
        <v>125</v>
      </c>
      <c r="B127">
        <v>0.39551846797387519</v>
      </c>
    </row>
    <row r="128">
      <c r="A128">
        <f t="shared" si="404"/>
        <v>126</v>
      </c>
      <c r="B128">
        <v>-1.7265560193368632</v>
      </c>
    </row>
    <row r="129">
      <c r="A129">
        <f t="shared" si="404"/>
        <v>127</v>
      </c>
      <c r="B129">
        <v>0.44281669336726442</v>
      </c>
    </row>
    <row r="130">
      <c r="A130">
        <f t="shared" si="404"/>
        <v>128</v>
      </c>
      <c r="B130">
        <v>1.4388934739414672</v>
      </c>
    </row>
    <row r="131">
      <c r="A131">
        <f t="shared" si="404"/>
        <v>129</v>
      </c>
      <c r="B131">
        <v>0.12275271683619741</v>
      </c>
    </row>
    <row r="132">
      <c r="A132">
        <f t="shared" si="404"/>
        <v>130</v>
      </c>
      <c r="B132">
        <v>-2.3043290324355552</v>
      </c>
    </row>
    <row r="133">
      <c r="A133">
        <f t="shared" si="404"/>
        <v>131</v>
      </c>
      <c r="B133">
        <v>-1.2280559143718643</v>
      </c>
    </row>
    <row r="134">
      <c r="A134">
        <f t="shared" si="404"/>
        <v>132</v>
      </c>
      <c r="B134">
        <v>0.52664052144190088</v>
      </c>
    </row>
    <row r="135">
      <c r="A135">
        <f t="shared" si="404"/>
        <v>133</v>
      </c>
      <c r="B135">
        <v>-0.23936305031708699</v>
      </c>
    </row>
    <row r="136">
      <c r="A136">
        <f t="shared" si="404"/>
        <v>134</v>
      </c>
      <c r="B136">
        <v>-0.40623212670529635</v>
      </c>
    </row>
    <row r="137">
      <c r="A137">
        <f t="shared" si="404"/>
        <v>135</v>
      </c>
      <c r="B137">
        <v>2.1526424037262686</v>
      </c>
    </row>
    <row r="138">
      <c r="A138">
        <f t="shared" si="404"/>
        <v>136</v>
      </c>
      <c r="B138">
        <v>0.81537237095631832</v>
      </c>
    </row>
    <row r="139">
      <c r="A139">
        <f t="shared" si="404"/>
        <v>137</v>
      </c>
      <c r="B139">
        <v>0.31168903975974632</v>
      </c>
    </row>
    <row r="140">
      <c r="A140">
        <f t="shared" si="404"/>
        <v>138</v>
      </c>
      <c r="B140">
        <v>-1.1257954484515587</v>
      </c>
    </row>
    <row r="141">
      <c r="A141">
        <f t="shared" si="404"/>
        <v>139</v>
      </c>
      <c r="B141">
        <v>0.88240979021908306</v>
      </c>
    </row>
    <row r="142">
      <c r="A142">
        <f t="shared" si="404"/>
        <v>140</v>
      </c>
      <c r="B142">
        <v>-0.6836103776258442</v>
      </c>
    </row>
    <row r="143">
      <c r="A143">
        <f t="shared" si="404"/>
        <v>141</v>
      </c>
      <c r="B143">
        <v>1.0592064058135686</v>
      </c>
    </row>
    <row r="144">
      <c r="A144">
        <f t="shared" si="404"/>
        <v>142</v>
      </c>
      <c r="B144">
        <v>-0.91302027235319694</v>
      </c>
    </row>
    <row r="145">
      <c r="A145">
        <f t="shared" si="404"/>
        <v>143</v>
      </c>
      <c r="B145">
        <v>1.4226419811981903</v>
      </c>
    </row>
    <row r="146">
      <c r="A146">
        <f t="shared" si="404"/>
        <v>144</v>
      </c>
      <c r="B146">
        <v>0.96206223663567125</v>
      </c>
    </row>
    <row r="147">
      <c r="A147">
        <f t="shared" si="404"/>
        <v>145</v>
      </c>
      <c r="B147">
        <v>0.63875167068728178</v>
      </c>
    </row>
    <row r="148">
      <c r="A148">
        <f t="shared" si="404"/>
        <v>146</v>
      </c>
      <c r="B148">
        <v>0.74240814661595267</v>
      </c>
    </row>
    <row r="149">
      <c r="A149">
        <f t="shared" si="404"/>
        <v>147</v>
      </c>
      <c r="B149">
        <v>0.55332805872655466</v>
      </c>
    </row>
    <row r="150">
      <c r="A150">
        <f t="shared" si="404"/>
        <v>148</v>
      </c>
      <c r="B150">
        <v>1.2975411684102689</v>
      </c>
    </row>
    <row r="151">
      <c r="A151">
        <f t="shared" si="404"/>
        <v>149</v>
      </c>
      <c r="B151">
        <v>-1.1125658791811828</v>
      </c>
    </row>
    <row r="152">
      <c r="A152">
        <f t="shared" si="404"/>
        <v>150</v>
      </c>
      <c r="B152">
        <v>0.61612929906621539</v>
      </c>
    </row>
    <row r="153">
      <c r="A153">
        <f t="shared" si="404"/>
        <v>151</v>
      </c>
      <c r="B153">
        <v>1.0055672357867182</v>
      </c>
    </row>
    <row r="154">
      <c r="A154">
        <f t="shared" si="404"/>
        <v>152</v>
      </c>
      <c r="B154">
        <v>-0.49557160317585913</v>
      </c>
    </row>
    <row r="155">
      <c r="A155">
        <f t="shared" si="404"/>
        <v>153</v>
      </c>
      <c r="B155">
        <v>0.4795411688874468</v>
      </c>
    </row>
    <row r="156">
      <c r="A156">
        <f t="shared" si="404"/>
        <v>154</v>
      </c>
      <c r="B156">
        <v>-0.10556166195061856</v>
      </c>
    </row>
    <row r="157">
      <c r="A157">
        <f t="shared" si="404"/>
        <v>155</v>
      </c>
      <c r="B157">
        <v>0.2755985123155586</v>
      </c>
    </row>
    <row r="158">
      <c r="A158">
        <f t="shared" si="404"/>
        <v>156</v>
      </c>
      <c r="B158">
        <v>0.59775234620954487</v>
      </c>
    </row>
    <row r="159">
      <c r="A159">
        <f t="shared" si="404"/>
        <v>157</v>
      </c>
      <c r="B159">
        <v>-9.116703241331725e-02</v>
      </c>
    </row>
    <row r="160">
      <c r="A160">
        <f t="shared" si="404"/>
        <v>158</v>
      </c>
      <c r="B160">
        <v>-0.66867175318331362</v>
      </c>
    </row>
    <row r="161">
      <c r="A161">
        <f t="shared" si="404"/>
        <v>159</v>
      </c>
      <c r="B161">
        <v>0.14634764909449763</v>
      </c>
    </row>
    <row r="162">
      <c r="A162">
        <f t="shared" si="404"/>
        <v>160</v>
      </c>
      <c r="B162">
        <v>1.3840603847297344</v>
      </c>
    </row>
    <row r="163">
      <c r="A163">
        <f t="shared" si="404"/>
        <v>161</v>
      </c>
      <c r="B163">
        <v>-0.22303528378214116</v>
      </c>
    </row>
    <row r="164">
      <c r="A164">
        <f t="shared" si="404"/>
        <v>162</v>
      </c>
      <c r="B164">
        <v>-0.46543281903646083</v>
      </c>
    </row>
    <row r="165">
      <c r="A165">
        <f t="shared" ref="A165:A228" si="405">A164+1</f>
        <v>163</v>
      </c>
      <c r="B165">
        <v>0.19076160011223728</v>
      </c>
    </row>
    <row r="166">
      <c r="A166">
        <f t="shared" si="405"/>
        <v>164</v>
      </c>
      <c r="B166">
        <v>0.68625390725343971</v>
      </c>
    </row>
    <row r="167">
      <c r="A167">
        <f t="shared" si="405"/>
        <v>165</v>
      </c>
      <c r="B167">
        <v>1.1052644709507866</v>
      </c>
    </row>
    <row r="168">
      <c r="A168">
        <f t="shared" si="405"/>
        <v>166</v>
      </c>
      <c r="B168">
        <v>1.407423039287667</v>
      </c>
    </row>
    <row r="169">
      <c r="A169">
        <f t="shared" si="405"/>
        <v>167</v>
      </c>
      <c r="B169">
        <v>0.90101675266462633</v>
      </c>
    </row>
    <row r="170">
      <c r="A170">
        <f t="shared" si="405"/>
        <v>168</v>
      </c>
      <c r="B170">
        <v>-1.8149149312318841e-02</v>
      </c>
    </row>
    <row r="171">
      <c r="A171">
        <f t="shared" si="405"/>
        <v>169</v>
      </c>
      <c r="B171">
        <v>-1.2909344672163063</v>
      </c>
    </row>
    <row r="172">
      <c r="A172">
        <f t="shared" si="405"/>
        <v>170</v>
      </c>
      <c r="B172">
        <v>-1.1408780579470197</v>
      </c>
    </row>
    <row r="173">
      <c r="A173">
        <f t="shared" si="405"/>
        <v>171</v>
      </c>
      <c r="B173">
        <v>-0.14401796679639955</v>
      </c>
    </row>
    <row r="174">
      <c r="A174">
        <f t="shared" si="405"/>
        <v>172</v>
      </c>
      <c r="B174">
        <v>-0.83034988360309614</v>
      </c>
    </row>
    <row r="175">
      <c r="A175">
        <f t="shared" si="405"/>
        <v>173</v>
      </c>
      <c r="B175">
        <v>0.75477232446463505</v>
      </c>
    </row>
    <row r="176">
      <c r="A176">
        <f t="shared" si="405"/>
        <v>174</v>
      </c>
      <c r="B176">
        <v>-0.46904811708216798</v>
      </c>
    </row>
    <row r="177">
      <c r="A177">
        <f t="shared" si="405"/>
        <v>175</v>
      </c>
      <c r="B177">
        <v>0.96483898821572622</v>
      </c>
    </row>
    <row r="178">
      <c r="A178">
        <f t="shared" si="405"/>
        <v>176</v>
      </c>
      <c r="B178">
        <v>-7.6919449368898093e-02</v>
      </c>
    </row>
    <row r="179">
      <c r="A179">
        <f t="shared" si="405"/>
        <v>177</v>
      </c>
      <c r="B179">
        <v>0.42040034584287839</v>
      </c>
    </row>
    <row r="180">
      <c r="A180">
        <f t="shared" si="405"/>
        <v>178</v>
      </c>
      <c r="B180">
        <v>-1.2721974882145519</v>
      </c>
    </row>
    <row r="181">
      <c r="A181">
        <f t="shared" si="405"/>
        <v>179</v>
      </c>
      <c r="B181">
        <v>-2.2786623353515791</v>
      </c>
    </row>
    <row r="182">
      <c r="A182">
        <f t="shared" si="405"/>
        <v>180</v>
      </c>
      <c r="B182">
        <v>-0.49105107958363775</v>
      </c>
    </row>
    <row r="183">
      <c r="A183">
        <f t="shared" si="405"/>
        <v>181</v>
      </c>
      <c r="B183">
        <v>0.48146540184895609</v>
      </c>
    </row>
    <row r="184">
      <c r="A184">
        <f t="shared" si="405"/>
        <v>182</v>
      </c>
      <c r="B184">
        <v>-1.6448864229186897</v>
      </c>
    </row>
    <row r="185">
      <c r="A185">
        <f t="shared" si="405"/>
        <v>183</v>
      </c>
      <c r="B185">
        <v>6.6632877659726253e-02</v>
      </c>
    </row>
    <row r="186">
      <c r="A186">
        <f t="shared" si="405"/>
        <v>184</v>
      </c>
      <c r="B186">
        <v>0.74603621689471489</v>
      </c>
    </row>
    <row r="187">
      <c r="A187">
        <f t="shared" si="405"/>
        <v>185</v>
      </c>
      <c r="B187">
        <v>0.27861328836863847</v>
      </c>
    </row>
    <row r="188">
      <c r="A188">
        <f t="shared" si="405"/>
        <v>186</v>
      </c>
      <c r="B188">
        <v>1.1266984017619501</v>
      </c>
    </row>
    <row r="189">
      <c r="A189">
        <f t="shared" si="405"/>
        <v>187</v>
      </c>
      <c r="B189">
        <v>-0.42035631338949575</v>
      </c>
    </row>
    <row r="190">
      <c r="A190">
        <f t="shared" si="405"/>
        <v>188</v>
      </c>
      <c r="B190">
        <v>-1.7276170584515391</v>
      </c>
    </row>
    <row r="191">
      <c r="A191">
        <f t="shared" si="405"/>
        <v>189</v>
      </c>
      <c r="B191">
        <v>1.3313570843379183</v>
      </c>
    </row>
    <row r="192">
      <c r="A192">
        <f t="shared" si="405"/>
        <v>190</v>
      </c>
      <c r="B192">
        <v>-2.6882822698553541</v>
      </c>
    </row>
    <row r="193">
      <c r="A193">
        <f t="shared" si="405"/>
        <v>191</v>
      </c>
      <c r="B193">
        <v>-1.0297732158894548</v>
      </c>
    </row>
    <row r="194">
      <c r="A194">
        <f t="shared" si="405"/>
        <v>192</v>
      </c>
      <c r="B194">
        <v>1.3556005978257979</v>
      </c>
    </row>
    <row r="195">
      <c r="A195">
        <f t="shared" si="405"/>
        <v>193</v>
      </c>
      <c r="B195">
        <v>1.6807352687308037</v>
      </c>
    </row>
    <row r="196">
      <c r="A196">
        <f t="shared" si="405"/>
        <v>194</v>
      </c>
      <c r="B196">
        <v>1.8520134291516093</v>
      </c>
    </row>
    <row r="197">
      <c r="A197">
        <f t="shared" si="405"/>
        <v>195</v>
      </c>
      <c r="B197">
        <v>-7.5661295451868241e-02</v>
      </c>
    </row>
    <row r="198">
      <c r="A198">
        <f t="shared" si="405"/>
        <v>196</v>
      </c>
      <c r="B198">
        <v>-0.18407374560733403</v>
      </c>
    </row>
    <row r="199">
      <c r="A199">
        <f t="shared" si="405"/>
        <v>197</v>
      </c>
      <c r="B199">
        <v>-4.4711145801600606e-02</v>
      </c>
    </row>
    <row r="200">
      <c r="A200">
        <f t="shared" si="405"/>
        <v>198</v>
      </c>
      <c r="B200">
        <v>1.5040563411084282</v>
      </c>
    </row>
    <row r="201">
      <c r="A201">
        <f t="shared" si="405"/>
        <v>199</v>
      </c>
      <c r="B201">
        <v>-1.3285522660397746</v>
      </c>
    </row>
    <row r="202">
      <c r="A202">
        <f t="shared" si="405"/>
        <v>200</v>
      </c>
      <c r="B202">
        <v>-0.33372062248518014</v>
      </c>
    </row>
    <row r="203">
      <c r="A203">
        <f t="shared" si="405"/>
        <v>201</v>
      </c>
      <c r="B203">
        <v>-0.38470808628662201</v>
      </c>
    </row>
    <row r="204">
      <c r="A204">
        <f t="shared" si="405"/>
        <v>202</v>
      </c>
      <c r="B204">
        <v>-0.55999501985336519</v>
      </c>
    </row>
    <row r="205">
      <c r="A205">
        <f t="shared" si="405"/>
        <v>203</v>
      </c>
      <c r="B205">
        <v>-2.7644475243779398e-02</v>
      </c>
    </row>
    <row r="206">
      <c r="A206">
        <f t="shared" si="405"/>
        <v>204</v>
      </c>
      <c r="B206">
        <v>-0.79799606205625406</v>
      </c>
    </row>
    <row r="207">
      <c r="A207">
        <f t="shared" si="405"/>
        <v>205</v>
      </c>
      <c r="B207">
        <v>-1.581448313723381</v>
      </c>
    </row>
    <row r="208">
      <c r="A208">
        <f t="shared" si="405"/>
        <v>206</v>
      </c>
      <c r="B208">
        <v>-0.57819600126002257</v>
      </c>
    </row>
    <row r="209">
      <c r="A209">
        <f t="shared" si="405"/>
        <v>207</v>
      </c>
      <c r="B209">
        <v>7.6483278377206865e-02</v>
      </c>
    </row>
    <row r="210">
      <c r="A210">
        <f t="shared" si="405"/>
        <v>208</v>
      </c>
      <c r="B210">
        <v>-0.12055600384974281</v>
      </c>
    </row>
    <row r="211">
      <c r="A211">
        <f t="shared" si="405"/>
        <v>209</v>
      </c>
      <c r="B211">
        <v>-0.78151843047388814</v>
      </c>
    </row>
    <row r="212">
      <c r="A212">
        <f t="shared" si="405"/>
        <v>210</v>
      </c>
      <c r="B212">
        <v>-0.6497550834096596</v>
      </c>
    </row>
    <row r="213">
      <c r="A213">
        <f t="shared" si="405"/>
        <v>211</v>
      </c>
      <c r="B213">
        <v>0.11819283785108019</v>
      </c>
    </row>
    <row r="214">
      <c r="A214">
        <f t="shared" si="405"/>
        <v>212</v>
      </c>
      <c r="B214">
        <v>1.2693740993658589</v>
      </c>
    </row>
    <row r="215">
      <c r="A215">
        <f t="shared" si="405"/>
        <v>213</v>
      </c>
      <c r="B215">
        <v>-0.29629858508389401</v>
      </c>
    </row>
    <row r="216">
      <c r="A216">
        <f t="shared" si="405"/>
        <v>214</v>
      </c>
      <c r="B216">
        <v>-0.38386746599685512</v>
      </c>
    </row>
    <row r="217">
      <c r="A217">
        <f t="shared" si="405"/>
        <v>215</v>
      </c>
      <c r="B217">
        <v>0.7139659799803556</v>
      </c>
    </row>
    <row r="218">
      <c r="A218">
        <f t="shared" si="405"/>
        <v>216</v>
      </c>
      <c r="B218">
        <v>1.3950580490726852</v>
      </c>
    </row>
    <row r="219">
      <c r="A219">
        <f t="shared" si="405"/>
        <v>217</v>
      </c>
      <c r="B219">
        <v>-0.40994693475246635</v>
      </c>
    </row>
    <row r="220">
      <c r="A220">
        <f t="shared" si="405"/>
        <v>218</v>
      </c>
      <c r="B220">
        <v>0.40776400001113339</v>
      </c>
    </row>
    <row r="221">
      <c r="A221">
        <f t="shared" si="405"/>
        <v>219</v>
      </c>
      <c r="B221">
        <v>-0.96171065996618366</v>
      </c>
    </row>
    <row r="222">
      <c r="A222">
        <f t="shared" si="405"/>
        <v>220</v>
      </c>
      <c r="B222">
        <v>0.17402926997514256</v>
      </c>
    </row>
    <row r="223">
      <c r="A223">
        <f t="shared" si="405"/>
        <v>221</v>
      </c>
      <c r="B223">
        <v>-0.41062469305864313</v>
      </c>
    </row>
    <row r="224">
      <c r="A224">
        <f t="shared" si="405"/>
        <v>222</v>
      </c>
      <c r="B224">
        <v>-1.7294715122027919</v>
      </c>
    </row>
    <row r="225">
      <c r="A225">
        <f t="shared" si="405"/>
        <v>223</v>
      </c>
      <c r="B225">
        <v>0.60709199904065281</v>
      </c>
    </row>
    <row r="226">
      <c r="A226">
        <f t="shared" si="405"/>
        <v>224</v>
      </c>
      <c r="B226">
        <v>-0.51942894064350031</v>
      </c>
    </row>
    <row r="227">
      <c r="A227">
        <f t="shared" si="405"/>
        <v>225</v>
      </c>
      <c r="B227">
        <v>-1.3782831934431534</v>
      </c>
    </row>
    <row r="228">
      <c r="A228">
        <f t="shared" si="405"/>
        <v>226</v>
      </c>
      <c r="B228">
        <v>-0.99233958847348624</v>
      </c>
    </row>
    <row r="229">
      <c r="A229">
        <f t="shared" ref="A229:A292" si="406">A228+1</f>
        <v>227</v>
      </c>
      <c r="B229">
        <v>0.46318440188487242</v>
      </c>
    </row>
    <row r="230">
      <c r="A230">
        <f t="shared" si="406"/>
        <v>228</v>
      </c>
      <c r="B230">
        <v>-0.61527049701647485</v>
      </c>
    </row>
    <row r="231">
      <c r="A231">
        <f t="shared" si="406"/>
        <v>229</v>
      </c>
      <c r="B231">
        <v>-1.4533998449124057</v>
      </c>
    </row>
    <row r="232">
      <c r="A232">
        <f t="shared" si="406"/>
        <v>230</v>
      </c>
      <c r="B232">
        <v>-1.1580882518078284</v>
      </c>
    </row>
    <row r="233">
      <c r="A233">
        <f t="shared" si="406"/>
        <v>231</v>
      </c>
      <c r="B233">
        <v>-1.4388039120197906</v>
      </c>
    </row>
    <row r="234">
      <c r="A234">
        <f t="shared" si="406"/>
        <v>232</v>
      </c>
      <c r="B234">
        <v>0.94235776596652188</v>
      </c>
    </row>
    <row r="235">
      <c r="A235">
        <f t="shared" si="406"/>
        <v>233</v>
      </c>
      <c r="B235">
        <v>1.5653130259464338</v>
      </c>
    </row>
    <row r="236">
      <c r="A236">
        <f t="shared" si="406"/>
        <v>234</v>
      </c>
      <c r="B236">
        <v>6.5644119617910404e-02</v>
      </c>
    </row>
    <row r="237">
      <c r="A237">
        <f t="shared" si="406"/>
        <v>235</v>
      </c>
      <c r="B237">
        <v>-0.53473567709841563</v>
      </c>
    </row>
    <row r="238">
      <c r="A238">
        <f t="shared" si="406"/>
        <v>236</v>
      </c>
      <c r="B238">
        <v>0.20198979941362166</v>
      </c>
    </row>
    <row r="239">
      <c r="A239">
        <f t="shared" si="406"/>
        <v>237</v>
      </c>
      <c r="B239">
        <v>1.3528219751874861</v>
      </c>
    </row>
    <row r="240">
      <c r="A240">
        <f t="shared" si="406"/>
        <v>238</v>
      </c>
      <c r="B240">
        <v>1.4005412394134718</v>
      </c>
    </row>
    <row r="241">
      <c r="A241">
        <f t="shared" si="406"/>
        <v>239</v>
      </c>
      <c r="B241">
        <v>1.5981339565728774</v>
      </c>
    </row>
    <row r="242">
      <c r="A242">
        <f t="shared" si="406"/>
        <v>240</v>
      </c>
      <c r="B242">
        <v>5.8523790134270871e-02</v>
      </c>
    </row>
    <row r="243">
      <c r="A243">
        <f t="shared" si="406"/>
        <v>241</v>
      </c>
      <c r="B243">
        <v>-0.49961790160029962</v>
      </c>
    </row>
    <row r="244">
      <c r="A244">
        <f t="shared" si="406"/>
        <v>242</v>
      </c>
      <c r="B244">
        <v>1.4185011839216768</v>
      </c>
    </row>
    <row r="245">
      <c r="A245">
        <f t="shared" si="406"/>
        <v>243</v>
      </c>
      <c r="B245">
        <v>1.274373071491389</v>
      </c>
    </row>
    <row r="246">
      <c r="A246">
        <f t="shared" si="406"/>
        <v>244</v>
      </c>
      <c r="B246">
        <v>-0.11736004608923298</v>
      </c>
    </row>
    <row r="247">
      <c r="A247">
        <f t="shared" si="406"/>
        <v>245</v>
      </c>
      <c r="B247">
        <v>-0.1499146700049854</v>
      </c>
    </row>
    <row r="248">
      <c r="A248">
        <f t="shared" si="406"/>
        <v>246</v>
      </c>
      <c r="B248">
        <v>0.12216929034741056</v>
      </c>
    </row>
    <row r="249">
      <c r="A249">
        <f t="shared" si="406"/>
        <v>247</v>
      </c>
      <c r="B249">
        <v>0.62874585615915313</v>
      </c>
    </row>
    <row r="250">
      <c r="A250">
        <f t="shared" si="406"/>
        <v>248</v>
      </c>
      <c r="B250">
        <v>-1.4424367808647585</v>
      </c>
    </row>
    <row r="251">
      <c r="A251">
        <f t="shared" si="406"/>
        <v>249</v>
      </c>
      <c r="B251">
        <v>1.387083666071826</v>
      </c>
    </row>
    <row r="252">
      <c r="A252">
        <f t="shared" si="406"/>
        <v>250</v>
      </c>
      <c r="B252">
        <v>1.1222059482550004</v>
      </c>
    </row>
    <row r="253">
      <c r="A253">
        <f t="shared" si="406"/>
        <v>251</v>
      </c>
      <c r="B253">
        <v>1.3509600133262396</v>
      </c>
    </row>
    <row r="254">
      <c r="A254">
        <f t="shared" si="406"/>
        <v>252</v>
      </c>
      <c r="B254">
        <v>0.82726033782501118</v>
      </c>
    </row>
    <row r="255">
      <c r="A255">
        <f t="shared" si="406"/>
        <v>253</v>
      </c>
      <c r="B255">
        <v>-0.23303387327343966</v>
      </c>
    </row>
    <row r="256">
      <c r="A256">
        <f t="shared" si="406"/>
        <v>254</v>
      </c>
      <c r="B256">
        <v>-1.6092022066214775</v>
      </c>
    </row>
    <row r="257">
      <c r="A257">
        <f t="shared" si="406"/>
        <v>255</v>
      </c>
      <c r="B257">
        <v>1.4849421529946001</v>
      </c>
    </row>
    <row r="258">
      <c r="A258">
        <f t="shared" si="406"/>
        <v>256</v>
      </c>
      <c r="B258">
        <v>1.0042184227632298</v>
      </c>
    </row>
    <row r="259">
      <c r="A259">
        <f t="shared" si="406"/>
        <v>257</v>
      </c>
      <c r="B259">
        <v>0.44325629575982495</v>
      </c>
    </row>
    <row r="260">
      <c r="A260">
        <f t="shared" si="406"/>
        <v>258</v>
      </c>
      <c r="B260">
        <v>1.4541989374520514</v>
      </c>
    </row>
    <row r="261">
      <c r="A261">
        <f t="shared" si="406"/>
        <v>259</v>
      </c>
      <c r="B261">
        <v>0.27700007713852881</v>
      </c>
    </row>
    <row r="262">
      <c r="A262">
        <f t="shared" si="406"/>
        <v>260</v>
      </c>
      <c r="B262">
        <v>-0.44329380430841753</v>
      </c>
    </row>
    <row r="263">
      <c r="A263">
        <f t="shared" si="406"/>
        <v>261</v>
      </c>
      <c r="B263">
        <v>-0.3934733432158809</v>
      </c>
    </row>
    <row r="264">
      <c r="A264">
        <f t="shared" si="406"/>
        <v>262</v>
      </c>
      <c r="B264">
        <v>-0.19117440519818671</v>
      </c>
    </row>
    <row r="265">
      <c r="A265">
        <f t="shared" si="406"/>
        <v>263</v>
      </c>
      <c r="B265">
        <v>-0.35345572110078199</v>
      </c>
    </row>
    <row r="266">
      <c r="A266">
        <f t="shared" si="406"/>
        <v>264</v>
      </c>
      <c r="B266">
        <v>1.0611652633559798</v>
      </c>
    </row>
    <row r="267">
      <c r="A267">
        <f t="shared" si="406"/>
        <v>265</v>
      </c>
      <c r="B267">
        <v>0.6517688893447684</v>
      </c>
    </row>
    <row r="268">
      <c r="A268">
        <f t="shared" si="406"/>
        <v>266</v>
      </c>
      <c r="B268">
        <v>-0.87618795458919985</v>
      </c>
    </row>
    <row r="269">
      <c r="A269">
        <f t="shared" si="406"/>
        <v>267</v>
      </c>
      <c r="B269">
        <v>1.0211144485487686</v>
      </c>
    </row>
    <row r="270">
      <c r="A270">
        <f t="shared" si="406"/>
        <v>268</v>
      </c>
      <c r="B270">
        <v>0.3345570084672792</v>
      </c>
    </row>
    <row r="271">
      <c r="A271">
        <f t="shared" si="406"/>
        <v>269</v>
      </c>
      <c r="B271">
        <v>-0.31608224833466164</v>
      </c>
    </row>
    <row r="272">
      <c r="A272">
        <f t="shared" si="406"/>
        <v>270</v>
      </c>
      <c r="B272">
        <v>-0.25810028698996612</v>
      </c>
    </row>
    <row r="273">
      <c r="A273">
        <f t="shared" si="406"/>
        <v>271</v>
      </c>
      <c r="B273">
        <v>-1.0659808677376943</v>
      </c>
    </row>
    <row r="274">
      <c r="A274">
        <f t="shared" si="406"/>
        <v>272</v>
      </c>
      <c r="B274">
        <v>1.3253325983092967</v>
      </c>
    </row>
    <row r="275">
      <c r="A275">
        <f t="shared" si="406"/>
        <v>273</v>
      </c>
      <c r="B275">
        <v>0.22420259656166425</v>
      </c>
    </row>
    <row r="276">
      <c r="A276">
        <f t="shared" si="406"/>
        <v>274</v>
      </c>
      <c r="B276">
        <v>1.142799083248015</v>
      </c>
    </row>
    <row r="277">
      <c r="A277">
        <f t="shared" si="406"/>
        <v>275</v>
      </c>
      <c r="B277">
        <v>-2.0248685713244958</v>
      </c>
    </row>
    <row r="278">
      <c r="A278">
        <f t="shared" si="406"/>
        <v>276</v>
      </c>
      <c r="B278">
        <v>1.1700515313547313</v>
      </c>
    </row>
    <row r="279">
      <c r="A279">
        <f t="shared" si="406"/>
        <v>277</v>
      </c>
      <c r="B279">
        <v>-0.28780236045008817</v>
      </c>
    </row>
    <row r="280">
      <c r="A280">
        <f t="shared" si="406"/>
        <v>278</v>
      </c>
      <c r="B280">
        <v>0.19996032152719267</v>
      </c>
    </row>
    <row r="281">
      <c r="A281">
        <f t="shared" si="406"/>
        <v>279</v>
      </c>
      <c r="B281">
        <v>-0.42632495640952561</v>
      </c>
    </row>
    <row r="282">
      <c r="A282">
        <f t="shared" si="406"/>
        <v>280</v>
      </c>
      <c r="B282">
        <v>-0.94997561502215366</v>
      </c>
    </row>
    <row r="283">
      <c r="A283">
        <f t="shared" si="406"/>
        <v>281</v>
      </c>
      <c r="B283">
        <v>0.23798358843080569</v>
      </c>
    </row>
    <row r="284">
      <c r="A284">
        <f t="shared" si="406"/>
        <v>282</v>
      </c>
      <c r="B284">
        <v>-1.7097937686390816</v>
      </c>
    </row>
    <row r="285">
      <c r="A285">
        <f t="shared" si="406"/>
        <v>283</v>
      </c>
      <c r="B285">
        <v>-0.23206183653580464</v>
      </c>
    </row>
    <row r="286">
      <c r="A286">
        <f t="shared" si="406"/>
        <v>284</v>
      </c>
      <c r="B286">
        <v>-4.3160138403625349e-02</v>
      </c>
    </row>
    <row r="287">
      <c r="A287">
        <f t="shared" si="406"/>
        <v>285</v>
      </c>
      <c r="B287">
        <v>0.91741621641347293</v>
      </c>
    </row>
    <row r="288">
      <c r="A288">
        <f t="shared" si="406"/>
        <v>286</v>
      </c>
      <c r="B288">
        <v>0.94965672959218461</v>
      </c>
    </row>
    <row r="289">
      <c r="A289">
        <f t="shared" si="406"/>
        <v>287</v>
      </c>
      <c r="B289">
        <v>-0.28708798786733425</v>
      </c>
    </row>
    <row r="290">
      <c r="A290">
        <f t="shared" si="406"/>
        <v>288</v>
      </c>
      <c r="B290">
        <v>-1.4487758162142736</v>
      </c>
    </row>
    <row r="291">
      <c r="A291">
        <f t="shared" si="406"/>
        <v>289</v>
      </c>
      <c r="B291">
        <v>1.6153439121367741</v>
      </c>
    </row>
    <row r="292">
      <c r="A292">
        <f t="shared" si="406"/>
        <v>290</v>
      </c>
      <c r="B292">
        <v>-0.25984259675553933</v>
      </c>
    </row>
    <row r="293">
      <c r="A293">
        <f t="shared" ref="A293:A302" si="407">A292+1</f>
        <v>291</v>
      </c>
      <c r="B293">
        <v>1.8529151411387943</v>
      </c>
    </row>
    <row r="294">
      <c r="A294">
        <f t="shared" si="407"/>
        <v>292</v>
      </c>
      <c r="B294">
        <v>0.62056917300879133</v>
      </c>
    </row>
    <row r="295">
      <c r="A295">
        <f t="shared" si="407"/>
        <v>293</v>
      </c>
      <c r="B295">
        <v>-1.1224817804260878</v>
      </c>
    </row>
    <row r="296">
      <c r="A296">
        <f t="shared" si="407"/>
        <v>294</v>
      </c>
      <c r="B296">
        <v>0.65365817657854042</v>
      </c>
    </row>
    <row r="297">
      <c r="A297">
        <f t="shared" si="407"/>
        <v>295</v>
      </c>
      <c r="B297">
        <v>0.63946998346618933</v>
      </c>
    </row>
    <row r="298">
      <c r="A298">
        <f t="shared" si="407"/>
        <v>296</v>
      </c>
      <c r="B298">
        <v>1.2687005765104575</v>
      </c>
    </row>
    <row r="299">
      <c r="A299">
        <f t="shared" si="407"/>
        <v>297</v>
      </c>
      <c r="B299">
        <v>1.9138822137128209</v>
      </c>
    </row>
    <row r="300">
      <c r="A300">
        <f t="shared" si="407"/>
        <v>298</v>
      </c>
      <c r="B300">
        <v>1.9817755142504039</v>
      </c>
    </row>
    <row r="301">
      <c r="A301">
        <f t="shared" si="407"/>
        <v>299</v>
      </c>
      <c r="B301">
        <v>-0.30623018695437709</v>
      </c>
    </row>
    <row r="302">
      <c r="A302">
        <f t="shared" si="407"/>
        <v>300</v>
      </c>
      <c r="B302">
        <v>2.0122453078561309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5446429999999998"/>
    <col customWidth="1" min="2" max="2" width="8.5446430000000007"/>
    <col customWidth="1" min="4" max="4" width="4.8125"/>
    <col customWidth="1" min="5" max="5" width="9.1785709999999998"/>
  </cols>
  <sheetData>
    <row r="1">
      <c r="A1" s="1" t="s">
        <v>71</v>
      </c>
      <c r="B1" s="1"/>
    </row>
    <row r="3">
      <c r="B3" s="4" t="s">
        <v>342</v>
      </c>
      <c r="C3" s="4" t="s">
        <v>343</v>
      </c>
      <c r="E3" s="4" t="s">
        <v>291</v>
      </c>
      <c r="F3" s="4" t="s">
        <v>292</v>
      </c>
    </row>
    <row r="4">
      <c r="A4">
        <v>1</v>
      </c>
      <c r="B4">
        <v>0.52844538994783907</v>
      </c>
      <c r="C4">
        <f>1+B4</f>
        <v>1.5284453899478401</v>
      </c>
      <c r="E4" s="15">
        <v>1</v>
      </c>
      <c r="F4" t="e">
        <v>#NAME?</v>
      </c>
    </row>
    <row r="5">
      <c r="A5">
        <f t="shared" ref="A5:A10" si="408">A4+1</f>
        <v>2</v>
      </c>
      <c r="B5">
        <v>-0.54093603584488126</v>
      </c>
      <c r="C5">
        <f t="shared" ref="C5:C9" si="409">1+C4+B5</f>
        <v>1.98750935410296</v>
      </c>
      <c r="E5" s="15">
        <f t="shared" ref="E5:E10" si="410">E4+1</f>
        <v>2</v>
      </c>
      <c r="F5" t="e">
        <v>#NAME?</v>
      </c>
    </row>
    <row r="6">
      <c r="A6">
        <f t="shared" si="408"/>
        <v>3</v>
      </c>
      <c r="B6">
        <v>1.201751455766745</v>
      </c>
      <c r="C6">
        <f t="shared" si="409"/>
        <v>4.1892608098697099</v>
      </c>
      <c r="E6" s="15">
        <f t="shared" si="410"/>
        <v>3</v>
      </c>
      <c r="F6" t="e">
        <v>#NAME?</v>
      </c>
    </row>
    <row r="7">
      <c r="A7">
        <f t="shared" si="408"/>
        <v>4</v>
      </c>
      <c r="B7">
        <v>-0.20977117820994723</v>
      </c>
      <c r="C7">
        <f t="shared" si="409"/>
        <v>4.9794896316597601</v>
      </c>
      <c r="E7" s="15">
        <f t="shared" si="410"/>
        <v>4</v>
      </c>
      <c r="F7" t="e">
        <v>#NAME?</v>
      </c>
    </row>
    <row r="8">
      <c r="A8">
        <f t="shared" si="408"/>
        <v>5</v>
      </c>
      <c r="B8">
        <v>0.1240712441867297</v>
      </c>
      <c r="C8">
        <f t="shared" si="409"/>
        <v>6.1035608758464903</v>
      </c>
      <c r="E8" s="15">
        <f t="shared" si="410"/>
        <v>5</v>
      </c>
      <c r="F8" t="e">
        <v>#NAME?</v>
      </c>
    </row>
    <row r="9">
      <c r="A9">
        <f t="shared" si="408"/>
        <v>6</v>
      </c>
      <c r="B9">
        <v>0.30824899178783588</v>
      </c>
      <c r="C9">
        <f t="shared" si="409"/>
        <v>7.4118098676343296</v>
      </c>
      <c r="E9" s="15">
        <f t="shared" si="410"/>
        <v>6</v>
      </c>
      <c r="F9" t="e">
        <v>#NAME?</v>
      </c>
    </row>
    <row r="10">
      <c r="A10">
        <f t="shared" si="408"/>
        <v>7</v>
      </c>
      <c r="B10">
        <v>-0.4856577322544301</v>
      </c>
      <c r="C10">
        <f>1+C9+B10</f>
        <v>7.9261521353799003</v>
      </c>
      <c r="E10" s="17">
        <f t="shared" si="410"/>
        <v>7</v>
      </c>
      <c r="F10" s="14" t="e">
        <v>#NAME?</v>
      </c>
    </row>
    <row r="11">
      <c r="A11">
        <f t="shared" ref="A11:A23" si="411">A10+1</f>
        <v>8</v>
      </c>
      <c r="B11">
        <v>-0.39680993080044097</v>
      </c>
      <c r="C11">
        <f t="shared" ref="C11:C23" si="412">1+C10+B11</f>
        <v>8.5293422045794607</v>
      </c>
    </row>
    <row r="12">
      <c r="A12">
        <f t="shared" si="411"/>
        <v>9</v>
      </c>
      <c r="B12">
        <v>2.143921126946749e-02</v>
      </c>
      <c r="C12">
        <f t="shared" si="412"/>
        <v>9.5507814158489293</v>
      </c>
      <c r="E12" t="s">
        <v>290</v>
      </c>
      <c r="F12" s="7" t="e">
        <v>#NAME?</v>
      </c>
    </row>
    <row r="13">
      <c r="A13">
        <f t="shared" si="411"/>
        <v>10</v>
      </c>
      <c r="B13">
        <v>-0.40173690907667348</v>
      </c>
      <c r="C13">
        <f t="shared" si="412"/>
        <v>10.149044506772199</v>
      </c>
      <c r="E13" t="s">
        <v>189</v>
      </c>
      <c r="F13" s="13" t="e">
        <v>#NAME?</v>
      </c>
    </row>
    <row r="14">
      <c r="A14">
        <f t="shared" si="411"/>
        <v>11</v>
      </c>
      <c r="B14">
        <v>-0.11847396053585904</v>
      </c>
      <c r="C14">
        <f t="shared" si="412"/>
        <v>11.0305705462363</v>
      </c>
    </row>
    <row r="15">
      <c r="A15">
        <f t="shared" si="411"/>
        <v>12</v>
      </c>
      <c r="B15">
        <v>0.76264316334985582</v>
      </c>
      <c r="C15">
        <f t="shared" si="412"/>
        <v>12.793213709586199</v>
      </c>
    </row>
    <row r="16">
      <c r="A16">
        <f t="shared" si="411"/>
        <v>13</v>
      </c>
      <c r="B16">
        <v>1.1477413235228353</v>
      </c>
      <c r="C16">
        <f t="shared" si="412"/>
        <v>14.940955033109001</v>
      </c>
    </row>
    <row r="17">
      <c r="A17">
        <f t="shared" si="411"/>
        <v>14</v>
      </c>
      <c r="B17">
        <v>-0.26551094891734961</v>
      </c>
      <c r="C17">
        <f t="shared" si="412"/>
        <v>15.6754440841917</v>
      </c>
    </row>
    <row r="18">
      <c r="A18">
        <f t="shared" si="411"/>
        <v>15</v>
      </c>
      <c r="B18">
        <v>-0.40737494936561819</v>
      </c>
      <c r="C18">
        <f t="shared" si="412"/>
        <v>16.268069134826099</v>
      </c>
    </row>
    <row r="19">
      <c r="A19">
        <f t="shared" si="411"/>
        <v>16</v>
      </c>
      <c r="B19">
        <v>-0.54822365500732795</v>
      </c>
      <c r="C19">
        <f t="shared" si="412"/>
        <v>16.719845479818801</v>
      </c>
    </row>
    <row r="20">
      <c r="A20">
        <f t="shared" si="411"/>
        <v>17</v>
      </c>
      <c r="B20">
        <v>-0.18775561715920544</v>
      </c>
      <c r="C20">
        <f t="shared" si="412"/>
        <v>17.5320898626596</v>
      </c>
    </row>
    <row r="21">
      <c r="A21">
        <f t="shared" si="411"/>
        <v>18</v>
      </c>
      <c r="B21">
        <v>0.21686806072400983</v>
      </c>
      <c r="C21">
        <f t="shared" si="412"/>
        <v>18.7489579233836</v>
      </c>
    </row>
    <row r="22">
      <c r="A22">
        <f t="shared" si="411"/>
        <v>19</v>
      </c>
      <c r="B22">
        <v>-0.35074730259174364</v>
      </c>
      <c r="C22">
        <f t="shared" si="412"/>
        <v>19.3982106207919</v>
      </c>
    </row>
    <row r="23">
      <c r="A23">
        <f t="shared" si="411"/>
        <v>20</v>
      </c>
      <c r="B23" s="14">
        <v>-0.88846166605536114</v>
      </c>
      <c r="C23" s="14">
        <f t="shared" si="412"/>
        <v>19.509748954736502</v>
      </c>
    </row>
    <row r="25">
      <c r="B25" t="s">
        <v>344</v>
      </c>
      <c r="C25" s="20" t="s">
        <v>345</v>
      </c>
    </row>
    <row r="26">
      <c r="B26" t="s">
        <v>346</v>
      </c>
      <c r="C26" t="e">
        <v>#NAME?</v>
      </c>
    </row>
    <row r="27">
      <c r="B27" t="s">
        <v>347</v>
      </c>
      <c r="C2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5446429999999998"/>
    <col customWidth="1" min="2" max="2" width="8.5446430000000007"/>
  </cols>
  <sheetData>
    <row r="1">
      <c r="A1" s="1" t="s">
        <v>71</v>
      </c>
      <c r="B1" s="1"/>
    </row>
    <row r="3">
      <c r="B3" s="4" t="s">
        <v>343</v>
      </c>
      <c r="C3" s="4" t="s">
        <v>278</v>
      </c>
      <c r="E3" s="4" t="s">
        <v>291</v>
      </c>
      <c r="F3" s="4" t="s">
        <v>292</v>
      </c>
    </row>
    <row r="4">
      <c r="A4">
        <v>1</v>
      </c>
      <c r="B4">
        <f>'RW 1'!C4</f>
        <v>1.5284453899478401</v>
      </c>
      <c r="E4" s="15">
        <v>1</v>
      </c>
      <c r="F4" t="e">
        <v>#NAME?</v>
      </c>
    </row>
    <row r="5">
      <c r="A5">
        <f t="shared" ref="A5:A10" si="413">A4+1</f>
        <v>2</v>
      </c>
      <c r="B5">
        <f>'RW 1'!C5</f>
        <v>1.98750935410296</v>
      </c>
      <c r="C5">
        <f t="shared" ref="C5:C9" si="414">B5-B4</f>
        <v>0.45906396415512002</v>
      </c>
      <c r="E5" s="15">
        <f t="shared" ref="E5:E10" si="415">E4+1</f>
        <v>2</v>
      </c>
      <c r="F5" t="e">
        <v>#NAME?</v>
      </c>
    </row>
    <row r="6">
      <c r="A6">
        <f t="shared" si="413"/>
        <v>3</v>
      </c>
      <c r="B6">
        <f>'RW 1'!C6</f>
        <v>4.1892608098697099</v>
      </c>
      <c r="C6">
        <f t="shared" si="414"/>
        <v>2.2017514557667499</v>
      </c>
      <c r="E6" s="15">
        <f t="shared" si="415"/>
        <v>3</v>
      </c>
      <c r="F6" t="e">
        <v>#NAME?</v>
      </c>
    </row>
    <row r="7">
      <c r="A7">
        <f t="shared" si="413"/>
        <v>4</v>
      </c>
      <c r="B7">
        <f>'RW 1'!C7</f>
        <v>4.9794896316597601</v>
      </c>
      <c r="C7">
        <f t="shared" si="414"/>
        <v>0.79022882179005005</v>
      </c>
      <c r="E7" s="15">
        <f t="shared" si="415"/>
        <v>4</v>
      </c>
      <c r="F7" t="e">
        <v>#NAME?</v>
      </c>
    </row>
    <row r="8">
      <c r="A8">
        <f t="shared" si="413"/>
        <v>5</v>
      </c>
      <c r="B8">
        <f>'RW 1'!C8</f>
        <v>6.1035608758464903</v>
      </c>
      <c r="C8">
        <f t="shared" si="414"/>
        <v>1.12407124418673</v>
      </c>
      <c r="E8" s="15">
        <f t="shared" si="415"/>
        <v>5</v>
      </c>
      <c r="F8" t="e">
        <v>#NAME?</v>
      </c>
    </row>
    <row r="9">
      <c r="A9">
        <f t="shared" si="413"/>
        <v>6</v>
      </c>
      <c r="B9">
        <f>'RW 1'!C9</f>
        <v>7.4118098676343296</v>
      </c>
      <c r="C9">
        <f t="shared" si="414"/>
        <v>1.3082489917878399</v>
      </c>
      <c r="E9" s="15">
        <f t="shared" si="415"/>
        <v>6</v>
      </c>
      <c r="F9" t="e">
        <v>#NAME?</v>
      </c>
    </row>
    <row r="10">
      <c r="A10">
        <f t="shared" si="413"/>
        <v>7</v>
      </c>
      <c r="B10">
        <f>'RW 1'!C10</f>
        <v>7.9261521353799003</v>
      </c>
      <c r="C10">
        <f>B10-B9</f>
        <v>0.51434226774557101</v>
      </c>
      <c r="E10" s="17">
        <f t="shared" si="415"/>
        <v>7</v>
      </c>
      <c r="F10" s="14" t="e">
        <v>#NAME?</v>
      </c>
    </row>
    <row r="11">
      <c r="A11">
        <f t="shared" ref="A11:A23" si="416">A10+1</f>
        <v>8</v>
      </c>
      <c r="B11">
        <f>'RW 1'!C11</f>
        <v>8.5293422045794607</v>
      </c>
      <c r="C11">
        <f t="shared" ref="C11:C23" si="417">B11-B10</f>
        <v>0.60319006919956097</v>
      </c>
    </row>
    <row r="12">
      <c r="A12">
        <f t="shared" si="416"/>
        <v>9</v>
      </c>
      <c r="B12">
        <f>'RW 1'!C12</f>
        <v>9.5507814158489293</v>
      </c>
      <c r="C12">
        <f t="shared" si="417"/>
        <v>1.0214392112694699</v>
      </c>
      <c r="E12" t="s">
        <v>290</v>
      </c>
      <c r="F12" s="7" t="e">
        <v>#NAME?</v>
      </c>
    </row>
    <row r="13">
      <c r="A13">
        <f t="shared" si="416"/>
        <v>10</v>
      </c>
      <c r="B13">
        <f>'RW 1'!C13</f>
        <v>10.149044506772199</v>
      </c>
      <c r="C13">
        <f t="shared" si="417"/>
        <v>0.59826309092327001</v>
      </c>
      <c r="E13" t="s">
        <v>189</v>
      </c>
      <c r="F13" s="13" t="e">
        <v>#NAME?</v>
      </c>
    </row>
    <row r="14">
      <c r="A14">
        <f t="shared" si="416"/>
        <v>11</v>
      </c>
      <c r="B14">
        <f>'RW 1'!C14</f>
        <v>11.0305705462363</v>
      </c>
      <c r="C14">
        <f t="shared" si="417"/>
        <v>0.88152603946410102</v>
      </c>
    </row>
    <row r="15">
      <c r="A15">
        <f t="shared" si="416"/>
        <v>12</v>
      </c>
      <c r="B15">
        <f>'RW 1'!C15</f>
        <v>12.793213709586199</v>
      </c>
      <c r="C15">
        <f t="shared" si="417"/>
        <v>1.7626431633499</v>
      </c>
    </row>
    <row r="16">
      <c r="A16">
        <f t="shared" si="416"/>
        <v>13</v>
      </c>
      <c r="B16">
        <f>'RW 1'!C16</f>
        <v>14.940955033109001</v>
      </c>
      <c r="C16">
        <f t="shared" si="417"/>
        <v>2.1477413235228</v>
      </c>
    </row>
    <row r="17">
      <c r="A17">
        <f t="shared" si="416"/>
        <v>14</v>
      </c>
      <c r="B17">
        <f>'RW 1'!C17</f>
        <v>15.6754440841917</v>
      </c>
      <c r="C17">
        <f t="shared" si="417"/>
        <v>0.73448905108269902</v>
      </c>
    </row>
    <row r="18">
      <c r="A18">
        <f t="shared" si="416"/>
        <v>15</v>
      </c>
      <c r="B18">
        <f>'RW 1'!C18</f>
        <v>16.268069134826099</v>
      </c>
      <c r="C18">
        <f t="shared" si="417"/>
        <v>0.59262505063439996</v>
      </c>
    </row>
    <row r="19">
      <c r="A19">
        <f t="shared" si="416"/>
        <v>16</v>
      </c>
      <c r="B19">
        <f>'RW 1'!C19</f>
        <v>16.719845479818801</v>
      </c>
      <c r="C19">
        <f t="shared" si="417"/>
        <v>0.45177634499270197</v>
      </c>
    </row>
    <row r="20">
      <c r="A20">
        <f t="shared" si="416"/>
        <v>17</v>
      </c>
      <c r="B20">
        <f>'RW 1'!C20</f>
        <v>17.5320898626596</v>
      </c>
      <c r="C20">
        <f t="shared" si="417"/>
        <v>0.81224438284079903</v>
      </c>
    </row>
    <row r="21">
      <c r="A21">
        <f t="shared" si="416"/>
        <v>18</v>
      </c>
      <c r="B21">
        <f>'RW 1'!C21</f>
        <v>18.7489579233836</v>
      </c>
      <c r="C21">
        <f t="shared" si="417"/>
        <v>1.2168680607239999</v>
      </c>
    </row>
    <row r="22">
      <c r="A22">
        <f t="shared" si="416"/>
        <v>19</v>
      </c>
      <c r="B22">
        <f>'RW 1'!C22</f>
        <v>19.3982106207919</v>
      </c>
      <c r="C22">
        <f t="shared" si="417"/>
        <v>0.64925269740830105</v>
      </c>
    </row>
    <row r="23">
      <c r="A23">
        <f t="shared" si="416"/>
        <v>20</v>
      </c>
      <c r="B23" s="14">
        <f>'RW 1'!C23</f>
        <v>19.509748954736502</v>
      </c>
      <c r="C23" s="14">
        <f t="shared" si="417"/>
        <v>0.111538333944601</v>
      </c>
    </row>
    <row r="25">
      <c r="B25" t="s">
        <v>344</v>
      </c>
      <c r="C25" t="e">
        <v>#NAME?</v>
      </c>
    </row>
    <row r="26">
      <c r="B26" t="s">
        <v>346</v>
      </c>
      <c r="C26" t="e">
        <v>#NAME?</v>
      </c>
    </row>
    <row r="27">
      <c r="B27" t="s">
        <v>347</v>
      </c>
      <c r="C2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5446429999999998"/>
    <col customWidth="1" min="2" max="2" width="8.5446430000000007"/>
    <col customWidth="1" min="4" max="4" width="4"/>
    <col customWidth="1" min="5" max="5" width="9.1785709999999998"/>
  </cols>
  <sheetData>
    <row r="1">
      <c r="A1" s="1" t="s">
        <v>74</v>
      </c>
      <c r="B1" s="1"/>
    </row>
    <row r="3">
      <c r="B3" s="4" t="s">
        <v>342</v>
      </c>
      <c r="C3" s="4" t="s">
        <v>343</v>
      </c>
      <c r="E3" s="4" t="s">
        <v>291</v>
      </c>
      <c r="F3" s="4" t="s">
        <v>292</v>
      </c>
    </row>
    <row r="4">
      <c r="A4">
        <v>1</v>
      </c>
      <c r="B4">
        <v>0.92105927438598234</v>
      </c>
      <c r="C4">
        <f t="shared" ref="C4:C9" si="418">A4+B4</f>
        <v>1.92105927438598</v>
      </c>
      <c r="E4" s="15">
        <v>1</v>
      </c>
      <c r="F4" t="e">
        <v>#NAME?</v>
      </c>
    </row>
    <row r="5">
      <c r="A5">
        <f t="shared" ref="A5:A10" si="419">A4+1</f>
        <v>2</v>
      </c>
      <c r="B5">
        <v>-0.13841982172833603</v>
      </c>
      <c r="C5">
        <f t="shared" si="418"/>
        <v>1.8615801782716599</v>
      </c>
      <c r="E5" s="15">
        <f t="shared" ref="E5:E10" si="420">E4+1</f>
        <v>2</v>
      </c>
      <c r="F5" t="e">
        <v>#NAME?</v>
      </c>
    </row>
    <row r="6">
      <c r="A6">
        <f t="shared" si="419"/>
        <v>3</v>
      </c>
      <c r="B6">
        <v>1.1781451823238465</v>
      </c>
      <c r="C6">
        <f t="shared" si="418"/>
        <v>4.17814518232385</v>
      </c>
      <c r="E6" s="15">
        <f t="shared" si="420"/>
        <v>3</v>
      </c>
      <c r="F6" t="e">
        <v>#NAME?</v>
      </c>
    </row>
    <row r="7">
      <c r="A7">
        <f t="shared" si="419"/>
        <v>4</v>
      </c>
      <c r="B7">
        <v>0.27578308724763428</v>
      </c>
      <c r="C7">
        <f t="shared" si="418"/>
        <v>4.2757830872476301</v>
      </c>
      <c r="E7" s="15">
        <f t="shared" si="420"/>
        <v>4</v>
      </c>
      <c r="F7" t="e">
        <v>#NAME?</v>
      </c>
    </row>
    <row r="8">
      <c r="A8">
        <f t="shared" si="419"/>
        <v>5</v>
      </c>
      <c r="B8">
        <v>0.74754161736526459</v>
      </c>
      <c r="C8">
        <f t="shared" si="418"/>
        <v>5.74754161736527</v>
      </c>
      <c r="E8" s="15">
        <f t="shared" si="420"/>
        <v>5</v>
      </c>
      <c r="F8" t="e">
        <v>#NAME?</v>
      </c>
    </row>
    <row r="9">
      <c r="A9">
        <f t="shared" si="419"/>
        <v>6</v>
      </c>
      <c r="B9">
        <v>1.2179008532428199</v>
      </c>
      <c r="C9">
        <f t="shared" si="418"/>
        <v>7.2179008532428197</v>
      </c>
      <c r="E9" s="15">
        <f t="shared" si="420"/>
        <v>6</v>
      </c>
      <c r="F9" t="e">
        <v>#NAME?</v>
      </c>
    </row>
    <row r="10">
      <c r="A10">
        <f t="shared" si="419"/>
        <v>7</v>
      </c>
      <c r="B10">
        <v>-0.68939664851859872</v>
      </c>
      <c r="C10">
        <f t="shared" ref="C10:C23" si="421">A10+B10</f>
        <v>6.3106033514813999</v>
      </c>
      <c r="E10" s="17">
        <f t="shared" si="420"/>
        <v>7</v>
      </c>
      <c r="F10" s="14" t="e">
        <v>#NAME?</v>
      </c>
    </row>
    <row r="11">
      <c r="A11">
        <f t="shared" ref="A11:A23" si="422">A10+1</f>
        <v>8</v>
      </c>
      <c r="B11">
        <v>-0.90646600359289242</v>
      </c>
      <c r="C11">
        <f t="shared" si="421"/>
        <v>7.0935339964071096</v>
      </c>
    </row>
    <row r="12">
      <c r="A12">
        <f t="shared" si="422"/>
        <v>9</v>
      </c>
      <c r="B12">
        <v>0.98723265084048895</v>
      </c>
      <c r="C12">
        <f t="shared" si="421"/>
        <v>9.9872326508404896</v>
      </c>
      <c r="E12" t="s">
        <v>290</v>
      </c>
      <c r="F12" s="7" t="e">
        <v>#NAME?</v>
      </c>
    </row>
    <row r="13">
      <c r="A13">
        <f t="shared" si="422"/>
        <v>10</v>
      </c>
      <c r="B13">
        <v>0.11392741537369618</v>
      </c>
      <c r="C13">
        <f t="shared" si="421"/>
        <v>10.1139274153737</v>
      </c>
      <c r="E13" t="s">
        <v>189</v>
      </c>
      <c r="F13" s="13" t="e">
        <v>#NAME?</v>
      </c>
    </row>
    <row r="14">
      <c r="A14">
        <f t="shared" si="422"/>
        <v>11</v>
      </c>
      <c r="B14">
        <v>2.2363176677074081</v>
      </c>
      <c r="C14">
        <f t="shared" si="421"/>
        <v>13.2363176677074</v>
      </c>
    </row>
    <row r="15">
      <c r="A15">
        <f t="shared" si="422"/>
        <v>12</v>
      </c>
      <c r="B15">
        <v>0.35867534822534214</v>
      </c>
      <c r="C15">
        <f t="shared" si="421"/>
        <v>12.358675348225299</v>
      </c>
    </row>
    <row r="16">
      <c r="A16">
        <f t="shared" si="422"/>
        <v>13</v>
      </c>
      <c r="B16">
        <v>-0.51422500710702845</v>
      </c>
      <c r="C16">
        <f t="shared" si="421"/>
        <v>12.485774992893001</v>
      </c>
    </row>
    <row r="17">
      <c r="A17">
        <f t="shared" si="422"/>
        <v>14</v>
      </c>
      <c r="B17">
        <v>1.3389809812230242</v>
      </c>
      <c r="C17">
        <f t="shared" si="421"/>
        <v>15.338980981222999</v>
      </c>
    </row>
    <row r="18">
      <c r="A18">
        <f t="shared" si="422"/>
        <v>15</v>
      </c>
      <c r="B18">
        <v>-1.0881663415779583</v>
      </c>
      <c r="C18">
        <f t="shared" si="421"/>
        <v>13.911833658421999</v>
      </c>
    </row>
    <row r="19">
      <c r="A19">
        <f t="shared" si="422"/>
        <v>16</v>
      </c>
      <c r="B19">
        <v>1.1414849550297648</v>
      </c>
      <c r="C19">
        <f t="shared" si="421"/>
        <v>17.141484955029799</v>
      </c>
    </row>
    <row r="20">
      <c r="A20">
        <f t="shared" si="422"/>
        <v>17</v>
      </c>
      <c r="B20">
        <v>-0.81466303481884061</v>
      </c>
      <c r="C20">
        <f t="shared" si="421"/>
        <v>16.1853369651812</v>
      </c>
    </row>
    <row r="21">
      <c r="A21">
        <f t="shared" si="422"/>
        <v>18</v>
      </c>
      <c r="B21">
        <v>2.1576336919028001</v>
      </c>
      <c r="C21">
        <f t="shared" si="421"/>
        <v>20.157633691902799</v>
      </c>
    </row>
    <row r="22">
      <c r="A22">
        <f t="shared" si="422"/>
        <v>19</v>
      </c>
      <c r="B22">
        <v>-0.30655222776992613</v>
      </c>
      <c r="C22">
        <f t="shared" si="421"/>
        <v>18.693447772230101</v>
      </c>
    </row>
    <row r="23">
      <c r="A23">
        <f t="shared" si="422"/>
        <v>20</v>
      </c>
      <c r="B23" s="14">
        <v>-0.11064846855926624</v>
      </c>
      <c r="C23" s="14">
        <f t="shared" si="421"/>
        <v>19.889351531440699</v>
      </c>
    </row>
    <row r="25">
      <c r="B25" t="s">
        <v>344</v>
      </c>
      <c r="C25" s="20" t="s">
        <v>348</v>
      </c>
    </row>
    <row r="26">
      <c r="B26" t="s">
        <v>346</v>
      </c>
      <c r="C26" t="e">
        <v>#NAME?</v>
      </c>
    </row>
    <row r="27">
      <c r="B27" t="s">
        <v>347</v>
      </c>
      <c r="C2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B23" activeCellId="0" sqref="B23"/>
    </sheetView>
  </sheetViews>
  <sheetFormatPr defaultRowHeight="14.25"/>
  <cols>
    <col customWidth="1" min="1" max="1" width="4.5446429999999998"/>
    <col customWidth="1" min="2" max="2" width="8.5446430000000007"/>
    <col customWidth="1" min="4" max="4" width="5.5446429999999998"/>
  </cols>
  <sheetData>
    <row r="1">
      <c r="A1" s="1" t="s">
        <v>74</v>
      </c>
      <c r="B1" s="1"/>
    </row>
    <row r="3">
      <c r="B3" s="4" t="s">
        <v>343</v>
      </c>
      <c r="C3" s="4" t="s">
        <v>349</v>
      </c>
      <c r="E3" s="4" t="s">
        <v>291</v>
      </c>
      <c r="F3" s="4" t="s">
        <v>292</v>
      </c>
    </row>
    <row r="4">
      <c r="A4">
        <v>1</v>
      </c>
      <c r="B4">
        <f>'DT 1'!C4</f>
        <v>1.92105927438598</v>
      </c>
      <c r="C4">
        <f t="shared" ref="C4:C9" si="423">B4-A4</f>
        <v>0.92105927438598001</v>
      </c>
      <c r="E4" s="15">
        <v>1</v>
      </c>
      <c r="F4" t="e">
        <v>#NAME?</v>
      </c>
    </row>
    <row r="5">
      <c r="A5">
        <f t="shared" ref="A5:A10" si="424">A4+1</f>
        <v>2</v>
      </c>
      <c r="B5">
        <f>'DT 1'!C5</f>
        <v>1.8615801782716599</v>
      </c>
      <c r="C5">
        <f t="shared" si="423"/>
        <v>-0.13841982172834</v>
      </c>
      <c r="E5" s="15">
        <f t="shared" ref="E5:E10" si="425">E4+1</f>
        <v>2</v>
      </c>
      <c r="F5" t="e">
        <v>#NAME?</v>
      </c>
    </row>
    <row r="6">
      <c r="A6">
        <f t="shared" si="424"/>
        <v>3</v>
      </c>
      <c r="B6">
        <f>'DT 1'!C6</f>
        <v>4.17814518232385</v>
      </c>
      <c r="C6">
        <f t="shared" si="423"/>
        <v>1.17814518232385</v>
      </c>
      <c r="E6" s="15">
        <f t="shared" si="425"/>
        <v>3</v>
      </c>
      <c r="F6" t="e">
        <v>#NAME?</v>
      </c>
    </row>
    <row r="7">
      <c r="A7">
        <f t="shared" si="424"/>
        <v>4</v>
      </c>
      <c r="B7">
        <f>'DT 1'!C7</f>
        <v>4.2757830872476301</v>
      </c>
      <c r="C7">
        <f t="shared" si="423"/>
        <v>0.27578308724763001</v>
      </c>
      <c r="E7" s="15">
        <f t="shared" si="425"/>
        <v>4</v>
      </c>
      <c r="F7" t="e">
        <v>#NAME?</v>
      </c>
    </row>
    <row r="8">
      <c r="A8">
        <f t="shared" si="424"/>
        <v>5</v>
      </c>
      <c r="B8">
        <f>'DT 1'!C8</f>
        <v>5.74754161736527</v>
      </c>
      <c r="C8">
        <f t="shared" si="423"/>
        <v>0.74754161736527003</v>
      </c>
      <c r="E8" s="15">
        <f t="shared" si="425"/>
        <v>5</v>
      </c>
      <c r="F8" t="e">
        <v>#NAME?</v>
      </c>
    </row>
    <row r="9">
      <c r="A9">
        <f t="shared" si="424"/>
        <v>6</v>
      </c>
      <c r="B9">
        <f>'DT 1'!C9</f>
        <v>7.2179008532428197</v>
      </c>
      <c r="C9">
        <f t="shared" si="423"/>
        <v>1.2179008532428199</v>
      </c>
      <c r="E9" s="15">
        <f t="shared" si="425"/>
        <v>6</v>
      </c>
      <c r="F9" t="e">
        <v>#NAME?</v>
      </c>
    </row>
    <row r="10">
      <c r="A10">
        <f t="shared" si="424"/>
        <v>7</v>
      </c>
      <c r="B10">
        <f>'DT 1'!C10</f>
        <v>6.3106033514813999</v>
      </c>
      <c r="C10">
        <f t="shared" ref="C10:C23" si="426">B10-A10</f>
        <v>-0.68939664851860005</v>
      </c>
      <c r="E10" s="17">
        <f t="shared" si="425"/>
        <v>7</v>
      </c>
      <c r="F10" s="14" t="e">
        <v>#NAME?</v>
      </c>
    </row>
    <row r="11">
      <c r="A11">
        <f t="shared" ref="A11:A23" si="427">A10+1</f>
        <v>8</v>
      </c>
      <c r="B11">
        <f>'DT 1'!C11</f>
        <v>7.0935339964071096</v>
      </c>
      <c r="C11">
        <f t="shared" si="426"/>
        <v>-0.90646600359289098</v>
      </c>
    </row>
    <row r="12">
      <c r="A12">
        <f t="shared" si="427"/>
        <v>9</v>
      </c>
      <c r="B12">
        <f>'DT 1'!C12</f>
        <v>9.9872326508404896</v>
      </c>
      <c r="C12">
        <f t="shared" si="426"/>
        <v>0.98723265084048994</v>
      </c>
      <c r="E12" t="s">
        <v>290</v>
      </c>
      <c r="F12" s="7" t="e">
        <v>#NAME?</v>
      </c>
    </row>
    <row r="13">
      <c r="A13">
        <f t="shared" si="427"/>
        <v>10</v>
      </c>
      <c r="B13">
        <f>'DT 1'!C13</f>
        <v>10.1139274153737</v>
      </c>
      <c r="C13">
        <f t="shared" si="426"/>
        <v>0.11392741537370002</v>
      </c>
      <c r="E13" t="s">
        <v>189</v>
      </c>
      <c r="F13" s="13" t="e">
        <v>#NAME?</v>
      </c>
    </row>
    <row r="14">
      <c r="A14">
        <f t="shared" si="427"/>
        <v>11</v>
      </c>
      <c r="B14">
        <f>'DT 1'!C14</f>
        <v>13.2363176677074</v>
      </c>
      <c r="C14">
        <f t="shared" si="426"/>
        <v>2.2363176677074001</v>
      </c>
    </row>
    <row r="15">
      <c r="A15">
        <f t="shared" si="427"/>
        <v>12</v>
      </c>
      <c r="B15">
        <f>'DT 1'!C15</f>
        <v>12.358675348225299</v>
      </c>
      <c r="C15">
        <f t="shared" si="426"/>
        <v>0.35867534822529901</v>
      </c>
    </row>
    <row r="16">
      <c r="A16">
        <f t="shared" si="427"/>
        <v>13</v>
      </c>
      <c r="B16">
        <f>'DT 1'!C16</f>
        <v>12.485774992893001</v>
      </c>
      <c r="C16">
        <f t="shared" si="426"/>
        <v>-0.51422500710699903</v>
      </c>
    </row>
    <row r="17">
      <c r="A17">
        <f t="shared" si="427"/>
        <v>14</v>
      </c>
      <c r="B17">
        <f>'DT 1'!C17</f>
        <v>15.338980981222999</v>
      </c>
      <c r="C17">
        <f t="shared" si="426"/>
        <v>1.338980981223</v>
      </c>
    </row>
    <row r="18">
      <c r="A18">
        <f t="shared" si="427"/>
        <v>15</v>
      </c>
      <c r="B18">
        <f>'DT 1'!C18</f>
        <v>13.911833658421999</v>
      </c>
      <c r="C18">
        <f t="shared" si="426"/>
        <v>-1.0881663415780001</v>
      </c>
    </row>
    <row r="19">
      <c r="A19">
        <f t="shared" si="427"/>
        <v>16</v>
      </c>
      <c r="B19">
        <f>'DT 1'!C19</f>
        <v>17.141484955029799</v>
      </c>
      <c r="C19">
        <f t="shared" si="426"/>
        <v>1.1414849550298001</v>
      </c>
    </row>
    <row r="20">
      <c r="A20">
        <f t="shared" si="427"/>
        <v>17</v>
      </c>
      <c r="B20">
        <f>'DT 1'!C20</f>
        <v>16.1853369651812</v>
      </c>
      <c r="C20">
        <f t="shared" si="426"/>
        <v>-0.81466303481879998</v>
      </c>
    </row>
    <row r="21">
      <c r="A21">
        <f t="shared" si="427"/>
        <v>18</v>
      </c>
      <c r="B21">
        <f>'DT 1'!C21</f>
        <v>20.157633691902799</v>
      </c>
      <c r="C21">
        <f t="shared" si="426"/>
        <v>2.1576336919028001</v>
      </c>
    </row>
    <row r="22">
      <c r="A22">
        <f t="shared" si="427"/>
        <v>19</v>
      </c>
      <c r="B22">
        <f>'DT 1'!C22</f>
        <v>18.693447772230101</v>
      </c>
      <c r="C22">
        <f t="shared" si="426"/>
        <v>-0.30655222776989899</v>
      </c>
    </row>
    <row r="23">
      <c r="A23">
        <f t="shared" si="427"/>
        <v>20</v>
      </c>
      <c r="B23" s="14">
        <f>'DT 1'!C23</f>
        <v>19.889351531440699</v>
      </c>
      <c r="C23" s="14">
        <f t="shared" si="426"/>
        <v>-0.11064846855930099</v>
      </c>
    </row>
    <row r="25">
      <c r="B25" t="s">
        <v>344</v>
      </c>
      <c r="C25" t="e">
        <v>#NAME?</v>
      </c>
    </row>
    <row r="26">
      <c r="B26" t="s">
        <v>346</v>
      </c>
      <c r="C26" t="e">
        <v>#NAME?</v>
      </c>
    </row>
    <row r="27">
      <c r="B27" t="s">
        <v>347</v>
      </c>
      <c r="C2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11.267856999999999"/>
    <col customWidth="1" min="2" max="2" width="9.5446430000000007"/>
    <col customWidth="1" min="4" max="4" width="9.1785709999999998"/>
    <col customWidth="1" min="6" max="6" width="4.2678570000000002"/>
    <col customWidth="1" min="7" max="7" width="7.2678570000000002"/>
    <col customWidth="1" min="9" max="9" width="4.2678570000000002"/>
    <col customWidth="1" min="11" max="11" width="7.1785709999999998"/>
    <col customWidth="1" min="14" max="14" width="4.2678570000000002"/>
    <col customWidth="1" min="15" max="15" width="9.7232140000000005"/>
  </cols>
  <sheetData>
    <row r="1">
      <c r="A1" s="1" t="s">
        <v>350</v>
      </c>
    </row>
    <row r="3">
      <c r="A3" s="4" t="s">
        <v>276</v>
      </c>
      <c r="B3" s="4" t="s">
        <v>277</v>
      </c>
      <c r="D3" t="s">
        <v>351</v>
      </c>
      <c r="E3">
        <v>0</v>
      </c>
      <c r="G3" t="s">
        <v>352</v>
      </c>
      <c r="J3" t="s">
        <v>353</v>
      </c>
      <c r="L3" t="s">
        <v>333</v>
      </c>
      <c r="O3" t="s">
        <v>354</v>
      </c>
    </row>
    <row r="4">
      <c r="A4" t="s">
        <v>293</v>
      </c>
      <c r="B4" s="37">
        <v>16272.01</v>
      </c>
    </row>
    <row r="5">
      <c r="A5" t="s">
        <v>295</v>
      </c>
      <c r="B5" s="37">
        <v>16472.369999999999</v>
      </c>
      <c r="D5" s="24" t="s">
        <v>355</v>
      </c>
      <c r="E5" s="24" t="s">
        <v>173</v>
      </c>
      <c r="G5" s="24" t="s">
        <v>356</v>
      </c>
      <c r="H5" s="24" t="s">
        <v>333</v>
      </c>
      <c r="J5" s="24" t="s">
        <v>357</v>
      </c>
      <c r="K5" s="24" t="s">
        <v>356</v>
      </c>
      <c r="L5" s="24" t="s">
        <v>358</v>
      </c>
      <c r="M5" s="24" t="s">
        <v>189</v>
      </c>
      <c r="O5" t="s">
        <v>359</v>
      </c>
      <c r="P5" s="43" t="s">
        <v>360</v>
      </c>
    </row>
    <row r="6">
      <c r="A6" t="s">
        <v>296</v>
      </c>
      <c r="B6" s="37">
        <v>16776.43</v>
      </c>
      <c r="D6">
        <v>1</v>
      </c>
      <c r="E6" t="e">
        <v>#NAME?</v>
      </c>
      <c r="G6">
        <v>1</v>
      </c>
      <c r="H6" t="e">
        <v>#NAME?</v>
      </c>
      <c r="J6" s="26" t="s">
        <v>361</v>
      </c>
      <c r="K6" s="26">
        <v>5</v>
      </c>
      <c r="L6" s="26" t="e">
        <v>#NAME?</v>
      </c>
      <c r="M6" s="26" t="e">
        <f>CHIDIST(L6,K6)</f>
        <v>#NAME?</v>
      </c>
      <c r="O6" t="s">
        <v>362</v>
      </c>
      <c r="P6" s="44" t="s">
        <v>363</v>
      </c>
    </row>
    <row r="7">
      <c r="A7" t="s">
        <v>301</v>
      </c>
      <c r="B7" s="37">
        <v>16790.189999999995</v>
      </c>
      <c r="D7">
        <f t="shared" ref="D7:D10" si="428">D6+1</f>
        <v>2</v>
      </c>
      <c r="E7" t="e">
        <v>#NAME?</v>
      </c>
      <c r="G7">
        <f t="shared" ref="G7:G10" si="429">G6+1</f>
        <v>2</v>
      </c>
      <c r="H7" t="e">
        <v>#NAME?</v>
      </c>
      <c r="O7" t="s">
        <v>364</v>
      </c>
      <c r="P7" s="44" t="s">
        <v>365</v>
      </c>
    </row>
    <row r="8">
      <c r="A8" t="s">
        <v>305</v>
      </c>
      <c r="B8" s="37">
        <v>16912.290000000001</v>
      </c>
      <c r="D8">
        <f t="shared" si="428"/>
        <v>3</v>
      </c>
      <c r="E8" t="e">
        <v>#NAME?</v>
      </c>
      <c r="G8">
        <f t="shared" si="429"/>
        <v>3</v>
      </c>
      <c r="H8" t="e">
        <v>#NAME?</v>
      </c>
      <c r="O8" t="s">
        <v>356</v>
      </c>
      <c r="P8" s="10">
        <f>IF(P5&lt;&gt;"schwert",0,ROUND(12*(COUNT(E6:E27)/100)^(1/4),0))</f>
        <v>0</v>
      </c>
    </row>
    <row r="9">
      <c r="A9" t="s">
        <v>308</v>
      </c>
      <c r="B9" s="37">
        <v>17050.75</v>
      </c>
      <c r="D9">
        <f t="shared" si="428"/>
        <v>4</v>
      </c>
      <c r="E9" t="e">
        <v>#NAME?</v>
      </c>
      <c r="G9">
        <f t="shared" si="429"/>
        <v>4</v>
      </c>
      <c r="H9" t="e">
        <v>#NAME?</v>
      </c>
      <c r="O9" t="s">
        <v>203</v>
      </c>
      <c r="P9" s="13">
        <v>5.0000000000000003e-02</v>
      </c>
    </row>
    <row r="10">
      <c r="A10" t="s">
        <v>310</v>
      </c>
      <c r="B10" s="37">
        <v>17084.490000000002</v>
      </c>
      <c r="D10">
        <f t="shared" si="428"/>
        <v>5</v>
      </c>
      <c r="E10" t="e">
        <v>#NAME?</v>
      </c>
      <c r="G10" s="14">
        <f t="shared" si="429"/>
        <v>5</v>
      </c>
      <c r="H10" s="14" t="e">
        <v>#NAME?</v>
      </c>
    </row>
    <row r="11">
      <c r="A11" t="s">
        <v>311</v>
      </c>
      <c r="B11" s="37">
        <v>17131.860000000001</v>
      </c>
      <c r="D11">
        <f t="shared" ref="D11:D27" si="430">D10+1</f>
        <v>6</v>
      </c>
      <c r="E11" t="e">
        <v>#NAME?</v>
      </c>
      <c r="O11" t="e">
        <v>#NAME?</v>
      </c>
      <c r="P11" s="7" t="e">
        <v>#NAME?</v>
      </c>
    </row>
    <row r="12">
      <c r="A12" t="s">
        <v>312</v>
      </c>
      <c r="B12" s="37">
        <v>17081.889999999999</v>
      </c>
      <c r="D12">
        <f t="shared" si="430"/>
        <v>7</v>
      </c>
      <c r="E12" t="e">
        <v>#NAME?</v>
      </c>
      <c r="O12" t="e">
        <v>#NAME?</v>
      </c>
      <c r="P12" s="10" t="e">
        <v>#NAME?</v>
      </c>
    </row>
    <row r="13">
      <c r="A13" t="s">
        <v>313</v>
      </c>
      <c r="B13" s="37">
        <v>16924.75</v>
      </c>
      <c r="D13">
        <f t="shared" si="430"/>
        <v>8</v>
      </c>
      <c r="E13" t="e">
        <v>#NAME?</v>
      </c>
      <c r="O13" t="e">
        <v>#NAME?</v>
      </c>
      <c r="P13" s="44" t="e">
        <v>#NAME?</v>
      </c>
    </row>
    <row r="14">
      <c r="A14" t="s">
        <v>314</v>
      </c>
      <c r="B14" s="37">
        <v>17141.75</v>
      </c>
      <c r="D14">
        <f t="shared" si="430"/>
        <v>9</v>
      </c>
      <c r="E14" t="e">
        <v>#NAME?</v>
      </c>
      <c r="O14" t="e">
        <v>#NAME?</v>
      </c>
      <c r="P14" s="10" t="e">
        <v>#NAME?</v>
      </c>
    </row>
    <row r="15">
      <c r="A15" t="s">
        <v>315</v>
      </c>
      <c r="B15" s="37">
        <v>17215.970000000001</v>
      </c>
      <c r="D15">
        <f t="shared" si="430"/>
        <v>10</v>
      </c>
      <c r="E15" t="e">
        <v>#NAME?</v>
      </c>
      <c r="O15" t="e">
        <v>#NAME?</v>
      </c>
      <c r="P15" s="10" t="e">
        <v>#NAME?</v>
      </c>
    </row>
    <row r="16">
      <c r="A16" t="s">
        <v>316</v>
      </c>
      <c r="B16" s="37">
        <v>17230.540000000001</v>
      </c>
      <c r="D16">
        <f t="shared" si="430"/>
        <v>11</v>
      </c>
      <c r="E16" t="e">
        <v>#NAME?</v>
      </c>
      <c r="O16" t="e">
        <v>#NAME?</v>
      </c>
      <c r="P16" s="10" t="e">
        <v>#NAME?</v>
      </c>
    </row>
    <row r="17">
      <c r="A17" t="s">
        <v>317</v>
      </c>
      <c r="B17" s="37">
        <v>17217.110000000001</v>
      </c>
      <c r="D17">
        <f t="shared" si="430"/>
        <v>12</v>
      </c>
      <c r="E17" t="e">
        <v>#NAME?</v>
      </c>
      <c r="O17" t="e">
        <v>#NAME?</v>
      </c>
      <c r="P17" s="10" t="e">
        <v>#NAME?</v>
      </c>
    </row>
    <row r="18">
      <c r="A18" t="s">
        <v>318</v>
      </c>
      <c r="B18" s="37">
        <v>17168.610000000001</v>
      </c>
      <c r="D18">
        <f t="shared" si="430"/>
        <v>13</v>
      </c>
      <c r="E18" t="e">
        <v>#NAME?</v>
      </c>
      <c r="O18" t="e">
        <v>#NAME?</v>
      </c>
      <c r="P18" s="45" t="e">
        <v>#NAME?</v>
      </c>
    </row>
    <row r="19">
      <c r="A19" t="s">
        <v>319</v>
      </c>
      <c r="B19" s="37">
        <v>17489.16</v>
      </c>
      <c r="D19">
        <f t="shared" si="430"/>
        <v>14</v>
      </c>
      <c r="E19" t="e">
        <v>#NAME?</v>
      </c>
    </row>
    <row r="20">
      <c r="A20" t="s">
        <v>320</v>
      </c>
      <c r="B20" s="37">
        <v>17646.700000000001</v>
      </c>
      <c r="D20">
        <f t="shared" si="430"/>
        <v>15</v>
      </c>
      <c r="E20" t="e">
        <v>#NAME?</v>
      </c>
    </row>
    <row r="21">
      <c r="A21" t="s">
        <v>321</v>
      </c>
      <c r="B21" s="37">
        <v>17623.049999999999</v>
      </c>
      <c r="D21">
        <f t="shared" si="430"/>
        <v>16</v>
      </c>
      <c r="E21" t="e">
        <v>#NAME?</v>
      </c>
    </row>
    <row r="22">
      <c r="A22" t="s">
        <v>322</v>
      </c>
      <c r="B22" s="37">
        <v>17581.43</v>
      </c>
      <c r="D22">
        <f t="shared" si="430"/>
        <v>17</v>
      </c>
      <c r="E22" t="e">
        <v>#NAME?</v>
      </c>
    </row>
    <row r="23">
      <c r="A23" t="s">
        <v>323</v>
      </c>
      <c r="B23" s="37">
        <v>17779.52</v>
      </c>
      <c r="D23">
        <f t="shared" si="430"/>
        <v>18</v>
      </c>
      <c r="E23" t="e">
        <v>#NAME?</v>
      </c>
    </row>
    <row r="24">
      <c r="A24" t="s">
        <v>324</v>
      </c>
      <c r="B24" s="37">
        <v>17755.799999999999</v>
      </c>
      <c r="D24">
        <f t="shared" si="430"/>
        <v>19</v>
      </c>
      <c r="E24" t="e">
        <v>#NAME?</v>
      </c>
    </row>
    <row r="25">
      <c r="A25" s="14" t="s">
        <v>325</v>
      </c>
      <c r="B25" s="39">
        <v>17663.540000000001</v>
      </c>
      <c r="D25">
        <f t="shared" si="430"/>
        <v>20</v>
      </c>
      <c r="E25" t="e">
        <v>#NAME?</v>
      </c>
    </row>
    <row r="26">
      <c r="D26">
        <f t="shared" si="430"/>
        <v>21</v>
      </c>
      <c r="E26" t="e">
        <v>#NAME?</v>
      </c>
    </row>
    <row r="27">
      <c r="D27" s="14">
        <f t="shared" si="430"/>
        <v>22</v>
      </c>
      <c r="E27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Z32" activeCellId="0" sqref="Z32"/>
    </sheetView>
  </sheetViews>
  <sheetFormatPr defaultRowHeight="14.25"/>
  <cols>
    <col customWidth="1" min="1" max="1" width="11.267856999999999"/>
    <col customWidth="1" min="2" max="2" width="9.5446430000000007"/>
    <col customWidth="1" min="6" max="6" width="4.2678570000000002"/>
    <col customWidth="1" min="7" max="7" width="7.8125"/>
    <col customWidth="1" min="9" max="9" width="4.2678570000000002"/>
    <col customWidth="1" min="11" max="11" width="7"/>
    <col customWidth="1" min="14" max="14" width="4.2678570000000002"/>
    <col customWidth="1" min="15" max="15" width="10"/>
  </cols>
  <sheetData>
    <row r="1">
      <c r="A1" s="1" t="s">
        <v>366</v>
      </c>
    </row>
    <row r="3">
      <c r="A3" s="4" t="s">
        <v>276</v>
      </c>
      <c r="B3" s="4" t="s">
        <v>277</v>
      </c>
      <c r="D3" t="s">
        <v>351</v>
      </c>
      <c r="E3">
        <v>1</v>
      </c>
      <c r="G3" t="s">
        <v>352</v>
      </c>
      <c r="J3" t="s">
        <v>353</v>
      </c>
      <c r="L3" t="s">
        <v>333</v>
      </c>
      <c r="O3" t="s">
        <v>354</v>
      </c>
    </row>
    <row r="4">
      <c r="A4" t="s">
        <v>293</v>
      </c>
      <c r="B4" s="37">
        <v>16272.01</v>
      </c>
    </row>
    <row r="5">
      <c r="A5" t="s">
        <v>295</v>
      </c>
      <c r="B5" s="37">
        <v>16472.369999999999</v>
      </c>
      <c r="D5" s="24" t="s">
        <v>355</v>
      </c>
      <c r="E5" s="24" t="s">
        <v>173</v>
      </c>
      <c r="G5" s="24" t="s">
        <v>356</v>
      </c>
      <c r="H5" s="24" t="s">
        <v>333</v>
      </c>
      <c r="J5" s="24" t="s">
        <v>357</v>
      </c>
      <c r="K5" s="24" t="s">
        <v>356</v>
      </c>
      <c r="L5" s="24" t="s">
        <v>358</v>
      </c>
      <c r="M5" s="24" t="s">
        <v>189</v>
      </c>
      <c r="O5" t="s">
        <v>359</v>
      </c>
      <c r="P5" s="43" t="s">
        <v>360</v>
      </c>
    </row>
    <row r="6">
      <c r="A6" t="s">
        <v>296</v>
      </c>
      <c r="B6" s="37">
        <v>16776.43</v>
      </c>
      <c r="D6">
        <v>1</v>
      </c>
      <c r="E6" t="e">
        <v>#NAME?</v>
      </c>
      <c r="G6">
        <v>1</v>
      </c>
      <c r="H6" t="e">
        <v>#NAME?</v>
      </c>
      <c r="J6" s="26" t="s">
        <v>361</v>
      </c>
      <c r="K6" s="26">
        <v>5</v>
      </c>
      <c r="L6" s="26" t="e">
        <v>#NAME?</v>
      </c>
      <c r="M6" s="26" t="e">
        <f>CHIDIST(L6,K6)</f>
        <v>#NAME?</v>
      </c>
      <c r="O6" t="s">
        <v>362</v>
      </c>
      <c r="P6" s="44" t="s">
        <v>365</v>
      </c>
    </row>
    <row r="7">
      <c r="A7" t="s">
        <v>301</v>
      </c>
      <c r="B7" s="37">
        <v>16790.189999999995</v>
      </c>
      <c r="D7">
        <f t="shared" ref="D7:D10" si="431">D6+1</f>
        <v>2</v>
      </c>
      <c r="E7" t="e">
        <v>#NAME?</v>
      </c>
      <c r="G7">
        <f t="shared" ref="G7:G10" si="432">G6+1</f>
        <v>2</v>
      </c>
      <c r="H7" t="e">
        <v>#NAME?</v>
      </c>
      <c r="O7" t="s">
        <v>364</v>
      </c>
      <c r="P7" s="44" t="s">
        <v>365</v>
      </c>
    </row>
    <row r="8">
      <c r="A8" t="s">
        <v>305</v>
      </c>
      <c r="B8" s="37">
        <v>16912.290000000001</v>
      </c>
      <c r="D8">
        <f t="shared" si="431"/>
        <v>3</v>
      </c>
      <c r="E8" t="e">
        <v>#NAME?</v>
      </c>
      <c r="G8">
        <f t="shared" si="432"/>
        <v>3</v>
      </c>
      <c r="H8" t="e">
        <v>#NAME?</v>
      </c>
      <c r="O8" t="s">
        <v>356</v>
      </c>
      <c r="P8" s="10">
        <f>IF(P5&lt;&gt;"schwert",0,ROUND(12*(COUNT(E6:E26)/100)^(1/4),0))</f>
        <v>0</v>
      </c>
    </row>
    <row r="9">
      <c r="A9" t="s">
        <v>308</v>
      </c>
      <c r="B9" s="37">
        <v>17050.75</v>
      </c>
      <c r="D9">
        <f t="shared" si="431"/>
        <v>4</v>
      </c>
      <c r="E9" t="e">
        <v>#NAME?</v>
      </c>
      <c r="G9">
        <f t="shared" si="432"/>
        <v>4</v>
      </c>
      <c r="H9" t="e">
        <v>#NAME?</v>
      </c>
      <c r="O9" t="s">
        <v>203</v>
      </c>
      <c r="P9" s="13">
        <v>5.0000000000000003e-02</v>
      </c>
    </row>
    <row r="10">
      <c r="A10" t="s">
        <v>310</v>
      </c>
      <c r="B10" s="37">
        <v>17084.490000000002</v>
      </c>
      <c r="D10">
        <f t="shared" si="431"/>
        <v>5</v>
      </c>
      <c r="E10" t="e">
        <v>#NAME?</v>
      </c>
      <c r="G10" s="14">
        <f t="shared" si="432"/>
        <v>5</v>
      </c>
      <c r="H10" s="14" t="e">
        <v>#NAME?</v>
      </c>
    </row>
    <row r="11">
      <c r="A11" t="s">
        <v>311</v>
      </c>
      <c r="B11" s="37">
        <v>17131.860000000001</v>
      </c>
      <c r="D11">
        <f t="shared" ref="D11:D26" si="433">D10+1</f>
        <v>6</v>
      </c>
      <c r="E11" t="e">
        <v>#NAME?</v>
      </c>
      <c r="O11" t="e">
        <v>#NAME?</v>
      </c>
      <c r="P11" s="7" t="e">
        <v>#NAME?</v>
      </c>
    </row>
    <row r="12">
      <c r="A12" t="s">
        <v>312</v>
      </c>
      <c r="B12" s="37">
        <v>17081.889999999999</v>
      </c>
      <c r="D12">
        <f t="shared" si="433"/>
        <v>7</v>
      </c>
      <c r="E12" t="e">
        <v>#NAME?</v>
      </c>
      <c r="O12" t="e">
        <v>#NAME?</v>
      </c>
      <c r="P12" s="10" t="e">
        <v>#NAME?</v>
      </c>
    </row>
    <row r="13">
      <c r="A13" t="s">
        <v>313</v>
      </c>
      <c r="B13" s="37">
        <v>16924.75</v>
      </c>
      <c r="D13">
        <f t="shared" si="433"/>
        <v>8</v>
      </c>
      <c r="E13" t="e">
        <v>#NAME?</v>
      </c>
      <c r="O13" t="e">
        <v>#NAME?</v>
      </c>
      <c r="P13" s="44" t="e">
        <v>#NAME?</v>
      </c>
    </row>
    <row r="14">
      <c r="A14" t="s">
        <v>314</v>
      </c>
      <c r="B14" s="37">
        <v>17141.75</v>
      </c>
      <c r="D14">
        <f t="shared" si="433"/>
        <v>9</v>
      </c>
      <c r="E14" t="e">
        <v>#NAME?</v>
      </c>
      <c r="O14" t="e">
        <v>#NAME?</v>
      </c>
      <c r="P14" s="10" t="e">
        <v>#NAME?</v>
      </c>
    </row>
    <row r="15">
      <c r="A15" t="s">
        <v>315</v>
      </c>
      <c r="B15" s="37">
        <v>17215.970000000001</v>
      </c>
      <c r="D15">
        <f t="shared" si="433"/>
        <v>10</v>
      </c>
      <c r="E15" t="e">
        <v>#NAME?</v>
      </c>
      <c r="O15" t="e">
        <v>#NAME?</v>
      </c>
      <c r="P15" s="10" t="e">
        <v>#NAME?</v>
      </c>
    </row>
    <row r="16">
      <c r="A16" t="s">
        <v>316</v>
      </c>
      <c r="B16" s="37">
        <v>17230.540000000001</v>
      </c>
      <c r="D16">
        <f t="shared" si="433"/>
        <v>11</v>
      </c>
      <c r="E16" t="e">
        <v>#NAME?</v>
      </c>
      <c r="O16" t="e">
        <v>#NAME?</v>
      </c>
      <c r="P16" s="10" t="e">
        <v>#NAME?</v>
      </c>
    </row>
    <row r="17">
      <c r="A17" t="s">
        <v>317</v>
      </c>
      <c r="B17" s="37">
        <v>17217.110000000001</v>
      </c>
      <c r="D17">
        <f t="shared" si="433"/>
        <v>12</v>
      </c>
      <c r="E17" t="e">
        <v>#NAME?</v>
      </c>
      <c r="O17" t="e">
        <v>#NAME?</v>
      </c>
      <c r="P17" s="10" t="e">
        <v>#NAME?</v>
      </c>
    </row>
    <row r="18">
      <c r="A18" t="s">
        <v>318</v>
      </c>
      <c r="B18" s="37">
        <v>17168.610000000001</v>
      </c>
      <c r="D18">
        <f t="shared" si="433"/>
        <v>13</v>
      </c>
      <c r="E18" t="e">
        <v>#NAME?</v>
      </c>
      <c r="O18" t="e">
        <v>#NAME?</v>
      </c>
      <c r="P18" s="45" t="e">
        <v>#NAME?</v>
      </c>
    </row>
    <row r="19">
      <c r="A19" t="s">
        <v>319</v>
      </c>
      <c r="B19" s="37">
        <v>17489.16</v>
      </c>
      <c r="D19">
        <f t="shared" si="433"/>
        <v>14</v>
      </c>
      <c r="E19" t="e">
        <v>#NAME?</v>
      </c>
    </row>
    <row r="20">
      <c r="A20" t="s">
        <v>320</v>
      </c>
      <c r="B20" s="37">
        <v>17646.700000000001</v>
      </c>
      <c r="D20">
        <f t="shared" si="433"/>
        <v>15</v>
      </c>
      <c r="E20" t="e">
        <v>#NAME?</v>
      </c>
    </row>
    <row r="21">
      <c r="A21" t="s">
        <v>321</v>
      </c>
      <c r="B21" s="37">
        <v>17623.049999999999</v>
      </c>
      <c r="D21">
        <f t="shared" si="433"/>
        <v>16</v>
      </c>
      <c r="E21" t="e">
        <v>#NAME?</v>
      </c>
    </row>
    <row r="22">
      <c r="A22" t="s">
        <v>322</v>
      </c>
      <c r="B22" s="37">
        <v>17581.43</v>
      </c>
      <c r="D22">
        <f t="shared" si="433"/>
        <v>17</v>
      </c>
      <c r="E22" t="e">
        <v>#NAME?</v>
      </c>
    </row>
    <row r="23">
      <c r="A23" t="s">
        <v>323</v>
      </c>
      <c r="B23" s="37">
        <v>17779.52</v>
      </c>
      <c r="D23">
        <f t="shared" si="433"/>
        <v>18</v>
      </c>
      <c r="E23" t="e">
        <v>#NAME?</v>
      </c>
    </row>
    <row r="24">
      <c r="A24" t="s">
        <v>324</v>
      </c>
      <c r="B24" s="37">
        <v>17755.799999999999</v>
      </c>
      <c r="D24">
        <f t="shared" si="433"/>
        <v>19</v>
      </c>
      <c r="E24" t="e">
        <v>#NAME?</v>
      </c>
    </row>
    <row r="25">
      <c r="A25" s="14" t="s">
        <v>325</v>
      </c>
      <c r="B25" s="39">
        <v>17663.540000000001</v>
      </c>
      <c r="D25">
        <f t="shared" si="433"/>
        <v>20</v>
      </c>
      <c r="E25" t="e">
        <v>#NAME?</v>
      </c>
    </row>
    <row r="26">
      <c r="D26" s="14">
        <f t="shared" si="433"/>
        <v>21</v>
      </c>
      <c r="E26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B1" zoomScale="100" workbookViewId="0">
      <selection activeCell="P8" activeCellId="0" sqref="P8"/>
    </sheetView>
  </sheetViews>
  <sheetFormatPr defaultRowHeight="14.25"/>
  <cols>
    <col customWidth="1" min="2" max="2" style="46" width="9.1785709999999998"/>
    <col customWidth="1" min="3" max="3" width="4.4553570000000002"/>
    <col customWidth="1" min="6" max="6" width="16.8125"/>
    <col customWidth="1" min="14" max="14" width="9.4553569999999993"/>
    <col customWidth="1" min="20" max="20" width="10.723214"/>
  </cols>
  <sheetData>
    <row r="1">
      <c r="A1" s="1" t="s">
        <v>77</v>
      </c>
      <c r="B1" s="47"/>
    </row>
    <row r="3">
      <c r="A3" s="4" t="s">
        <v>355</v>
      </c>
      <c r="B3" s="48" t="s">
        <v>367</v>
      </c>
      <c r="D3" s="4" t="s">
        <v>368</v>
      </c>
      <c r="F3" t="s">
        <v>369</v>
      </c>
      <c r="N3" t="s">
        <v>370</v>
      </c>
      <c r="Q3" t="s">
        <v>351</v>
      </c>
      <c r="R3">
        <v>0</v>
      </c>
      <c r="T3" t="s">
        <v>354</v>
      </c>
    </row>
    <row r="4">
      <c r="A4" s="15">
        <v>1</v>
      </c>
      <c r="B4" s="46">
        <v>50</v>
      </c>
      <c r="E4" s="46"/>
    </row>
    <row r="5">
      <c r="A5" s="15">
        <f t="shared" ref="A5:A10" si="434">A4+1</f>
        <v>2</v>
      </c>
      <c r="B5" s="46">
        <v>120.83</v>
      </c>
      <c r="D5" s="46">
        <f t="shared" ref="D5:D9" si="435">B5-B4</f>
        <v>70.829999999999998</v>
      </c>
      <c r="E5" s="46"/>
      <c r="F5" s="49" t="s">
        <v>371</v>
      </c>
      <c r="G5" s="49"/>
      <c r="I5" s="49"/>
      <c r="J5" s="49"/>
      <c r="N5" t="s">
        <v>176</v>
      </c>
      <c r="O5" s="7">
        <f>A28</f>
        <v>25</v>
      </c>
      <c r="Q5" s="24" t="s">
        <v>355</v>
      </c>
      <c r="R5" s="24" t="s">
        <v>173</v>
      </c>
      <c r="T5" t="s">
        <v>359</v>
      </c>
      <c r="U5" s="43" t="s">
        <v>372</v>
      </c>
    </row>
    <row r="6">
      <c r="A6" s="15">
        <f t="shared" si="434"/>
        <v>3</v>
      </c>
      <c r="B6" s="46">
        <v>-25.43</v>
      </c>
      <c r="D6" s="46">
        <f t="shared" si="435"/>
        <v>-146.25999999999999</v>
      </c>
      <c r="E6" s="46"/>
      <c r="F6" t="s">
        <v>373</v>
      </c>
      <c r="G6" t="e">
        <f>SQRT(G7)</f>
        <v>#NAME?</v>
      </c>
      <c r="I6" t="s">
        <v>374</v>
      </c>
      <c r="J6" t="e">
        <f>G10*LN(H15/G10)+2*G14</f>
        <v>#NAME?</v>
      </c>
      <c r="N6" t="s">
        <v>203</v>
      </c>
      <c r="O6" s="10">
        <f>K12</f>
        <v>5.0000000000000003e-02</v>
      </c>
      <c r="Q6">
        <v>1</v>
      </c>
      <c r="R6" t="e">
        <v>#NAME?</v>
      </c>
      <c r="T6" t="s">
        <v>362</v>
      </c>
      <c r="U6" s="44" t="s">
        <v>365</v>
      </c>
    </row>
    <row r="7">
      <c r="A7" s="15">
        <f t="shared" si="434"/>
        <v>4</v>
      </c>
      <c r="B7" s="46">
        <v>31.719999999999999</v>
      </c>
      <c r="D7" s="46">
        <f t="shared" si="435"/>
        <v>57.149999999999999</v>
      </c>
      <c r="E7" s="46"/>
      <c r="F7" t="s">
        <v>375</v>
      </c>
      <c r="G7" t="e">
        <f>H14/H16</f>
        <v>#NAME?</v>
      </c>
      <c r="I7" t="s">
        <v>376</v>
      </c>
      <c r="J7" t="e">
        <f>J6+2*(G14+1)*(G14+2)/(G10-G14-2)</f>
        <v>#NAME?</v>
      </c>
      <c r="N7" t="s">
        <v>377</v>
      </c>
      <c r="O7" s="10" t="e">
        <f>I19</f>
        <v>#NAME?</v>
      </c>
      <c r="Q7">
        <f t="shared" ref="Q7:Q10" si="436">Q6+1</f>
        <v>2</v>
      </c>
      <c r="R7" t="e">
        <v>#NAME?</v>
      </c>
      <c r="T7" t="s">
        <v>364</v>
      </c>
      <c r="U7" s="44" t="s">
        <v>365</v>
      </c>
    </row>
    <row r="8">
      <c r="A8" s="15">
        <f t="shared" si="434"/>
        <v>5</v>
      </c>
      <c r="B8" s="46">
        <v>94.790000000000006</v>
      </c>
      <c r="D8" s="46">
        <f t="shared" si="435"/>
        <v>63.07</v>
      </c>
      <c r="E8" s="46"/>
      <c r="F8" t="s">
        <v>378</v>
      </c>
      <c r="G8" t="e">
        <f>1-(1-G7)*G10/(G10-G14)</f>
        <v>#NAME?</v>
      </c>
      <c r="I8" s="14" t="s">
        <v>379</v>
      </c>
      <c r="J8" s="14" t="e">
        <f>G10*LN(H15/G10)+G14*LN(G10)</f>
        <v>#NAME?</v>
      </c>
      <c r="N8" t="s">
        <v>380</v>
      </c>
      <c r="O8" s="10" t="e">
        <v>#NAME?</v>
      </c>
      <c r="Q8">
        <f t="shared" si="436"/>
        <v>3</v>
      </c>
      <c r="R8" t="e">
        <v>#NAME?</v>
      </c>
      <c r="T8" t="s">
        <v>356</v>
      </c>
      <c r="U8" s="10">
        <v>0</v>
      </c>
    </row>
    <row r="9">
      <c r="A9" s="15">
        <f t="shared" si="434"/>
        <v>6</v>
      </c>
      <c r="B9" s="46">
        <v>61.060000000000002</v>
      </c>
      <c r="D9" s="46">
        <f t="shared" si="435"/>
        <v>-33.729999999999997</v>
      </c>
      <c r="E9" s="46"/>
      <c r="F9" t="s">
        <v>381</v>
      </c>
      <c r="G9" t="e">
        <f>SQRT(I15)</f>
        <v>#NAME?</v>
      </c>
      <c r="N9" t="s">
        <v>382</v>
      </c>
      <c r="O9" s="21" t="e">
        <f>IF(O7&lt;O8,"yes","no")</f>
        <v>#NAME?</v>
      </c>
      <c r="Q9">
        <f t="shared" si="436"/>
        <v>4</v>
      </c>
      <c r="R9" t="e">
        <v>#NAME?</v>
      </c>
      <c r="T9" t="s">
        <v>203</v>
      </c>
      <c r="U9" s="13">
        <v>5.0000000000000003e-02</v>
      </c>
    </row>
    <row r="10">
      <c r="A10" s="15">
        <f t="shared" si="434"/>
        <v>7</v>
      </c>
      <c r="B10" s="46">
        <v>87.510000000000005</v>
      </c>
      <c r="D10" s="46">
        <f>B10-B9</f>
        <v>26.449999999999999</v>
      </c>
      <c r="E10" s="46"/>
      <c r="F10" s="14" t="s">
        <v>383</v>
      </c>
      <c r="G10" s="14">
        <f>COUNT(D5:D28)</f>
        <v>24</v>
      </c>
      <c r="Q10">
        <f t="shared" si="436"/>
        <v>5</v>
      </c>
      <c r="R10" t="e">
        <v>#NAME?</v>
      </c>
    </row>
    <row r="11">
      <c r="A11" s="15">
        <f t="shared" ref="A11:A28" si="437">A10+1</f>
        <v>8</v>
      </c>
      <c r="B11" s="46">
        <v>-65.879999999999995</v>
      </c>
      <c r="D11" s="46">
        <f t="shared" ref="D11:D28" si="438">B11-B10</f>
        <v>-153.38999999999999</v>
      </c>
      <c r="E11" s="46"/>
      <c r="Q11">
        <f t="shared" ref="Q11:Q30" si="439">Q10+1</f>
        <v>6</v>
      </c>
      <c r="R11" t="e">
        <v>#NAME?</v>
      </c>
      <c r="T11" t="e">
        <v>#NAME?</v>
      </c>
      <c r="U11" s="7" t="e">
        <v>#NAME?</v>
      </c>
    </row>
    <row r="12">
      <c r="A12" s="15">
        <f t="shared" si="437"/>
        <v>9</v>
      </c>
      <c r="B12" s="46">
        <v>30.399999999999999</v>
      </c>
      <c r="D12" s="46">
        <f t="shared" si="438"/>
        <v>96.280000000000001</v>
      </c>
      <c r="E12" s="46"/>
      <c r="F12" t="s">
        <v>384</v>
      </c>
      <c r="J12" s="15" t="s">
        <v>385</v>
      </c>
      <c r="K12" s="15">
        <v>5.0000000000000003e-02</v>
      </c>
      <c r="Q12">
        <f t="shared" si="439"/>
        <v>7</v>
      </c>
      <c r="R12" t="e">
        <v>#NAME?</v>
      </c>
      <c r="T12" t="e">
        <v>#NAME?</v>
      </c>
      <c r="U12" s="10" t="e">
        <v>#NAME?</v>
      </c>
    </row>
    <row r="13">
      <c r="A13" s="15">
        <f t="shared" si="437"/>
        <v>10</v>
      </c>
      <c r="B13" s="46">
        <v>65.489999999999995</v>
      </c>
      <c r="D13" s="46">
        <f t="shared" si="438"/>
        <v>35.090000000000003</v>
      </c>
      <c r="E13" s="46"/>
      <c r="F13" s="24"/>
      <c r="G13" s="24" t="s">
        <v>294</v>
      </c>
      <c r="H13" s="24" t="s">
        <v>386</v>
      </c>
      <c r="I13" s="24" t="s">
        <v>387</v>
      </c>
      <c r="J13" s="24" t="s">
        <v>388</v>
      </c>
      <c r="K13" s="24" t="s">
        <v>189</v>
      </c>
      <c r="L13" s="24" t="s">
        <v>204</v>
      </c>
      <c r="Q13">
        <f t="shared" si="439"/>
        <v>8</v>
      </c>
      <c r="R13" t="e">
        <v>#NAME?</v>
      </c>
      <c r="T13" t="e">
        <v>#NAME?</v>
      </c>
      <c r="U13" s="44" t="e">
        <v>#NAME?</v>
      </c>
    </row>
    <row r="14">
      <c r="A14" s="15">
        <f t="shared" si="437"/>
        <v>11</v>
      </c>
      <c r="B14" s="46">
        <v>15.130000000000001</v>
      </c>
      <c r="D14" s="46">
        <f t="shared" si="438"/>
        <v>-50.359999999999999</v>
      </c>
      <c r="E14" s="46"/>
      <c r="F14" t="s">
        <v>389</v>
      </c>
      <c r="G14">
        <f>COUNT(B4)</f>
        <v>1</v>
      </c>
      <c r="H14" t="e">
        <f>SUMSQ(MMULT(B4:B27,G19))</f>
        <v>#NAME?</v>
      </c>
      <c r="I14" t="e">
        <f t="shared" ref="I14:I15" si="440">H14/G14</f>
        <v>#NAME?</v>
      </c>
      <c r="J14" t="e">
        <f>I14/I15</f>
        <v>#NAME?</v>
      </c>
      <c r="K14" t="e">
        <f>FDIST(J14,G14,G15)</f>
        <v>#NAME?</v>
      </c>
      <c r="L14" s="15" t="e">
        <f>IF(K14&lt;K12,"yes","no")</f>
        <v>#NAME?</v>
      </c>
      <c r="Q14">
        <f t="shared" si="439"/>
        <v>9</v>
      </c>
      <c r="R14" t="e">
        <v>#NAME?</v>
      </c>
      <c r="T14" t="e">
        <v>#NAME?</v>
      </c>
      <c r="U14" s="10" t="e">
        <v>#NAME?</v>
      </c>
    </row>
    <row r="15">
      <c r="A15" s="15">
        <f t="shared" si="437"/>
        <v>12</v>
      </c>
      <c r="B15" s="46">
        <v>8.2300000000000004</v>
      </c>
      <c r="D15" s="46">
        <f t="shared" si="438"/>
        <v>-6.9000000000000004</v>
      </c>
      <c r="E15" s="46"/>
      <c r="F15" t="s">
        <v>342</v>
      </c>
      <c r="G15">
        <f>G16-G14</f>
        <v>23</v>
      </c>
      <c r="H15" t="e">
        <f>H16-H14</f>
        <v>#NAME?</v>
      </c>
      <c r="I15" t="e">
        <f t="shared" si="440"/>
        <v>#NAME?</v>
      </c>
      <c r="Q15">
        <f t="shared" si="439"/>
        <v>10</v>
      </c>
      <c r="R15" t="e">
        <v>#NAME?</v>
      </c>
      <c r="T15" t="e">
        <v>#NAME?</v>
      </c>
      <c r="U15" s="10" t="e">
        <v>#NAME?</v>
      </c>
    </row>
    <row r="16">
      <c r="A16" s="15">
        <f t="shared" si="437"/>
        <v>13</v>
      </c>
      <c r="B16" s="46">
        <v>-18.710000000000001</v>
      </c>
      <c r="D16" s="46">
        <f t="shared" si="438"/>
        <v>-26.940000000000001</v>
      </c>
      <c r="E16" s="46"/>
      <c r="F16" s="14" t="s">
        <v>390</v>
      </c>
      <c r="G16" s="14">
        <f>G10</f>
        <v>24</v>
      </c>
      <c r="H16" s="14">
        <f>SUMSQ(D5:D28)</f>
        <v>252859.36730000001</v>
      </c>
      <c r="I16" s="14"/>
      <c r="J16" s="14"/>
      <c r="K16" s="14"/>
      <c r="L16" s="14"/>
      <c r="Q16">
        <f t="shared" si="439"/>
        <v>11</v>
      </c>
      <c r="R16" t="e">
        <v>#NAME?</v>
      </c>
      <c r="T16" t="e">
        <v>#NAME?</v>
      </c>
      <c r="U16" s="10" t="e">
        <v>#NAME?</v>
      </c>
    </row>
    <row r="17">
      <c r="A17" s="15">
        <f t="shared" si="437"/>
        <v>14</v>
      </c>
      <c r="B17" s="46">
        <v>-29.789999999999999</v>
      </c>
      <c r="D17" s="46">
        <f t="shared" si="438"/>
        <v>-11.08</v>
      </c>
      <c r="E17" s="46"/>
      <c r="Q17">
        <f t="shared" si="439"/>
        <v>12</v>
      </c>
      <c r="R17" t="e">
        <v>#NAME?</v>
      </c>
      <c r="T17" t="e">
        <v>#NAME?</v>
      </c>
      <c r="U17" s="10" t="e">
        <v>#NAME?</v>
      </c>
    </row>
    <row r="18">
      <c r="A18" s="15">
        <f t="shared" si="437"/>
        <v>15</v>
      </c>
      <c r="B18" s="46">
        <v>-97</v>
      </c>
      <c r="D18" s="46">
        <f t="shared" si="438"/>
        <v>-67.209999999999994</v>
      </c>
      <c r="E18" s="46"/>
      <c r="F18" s="24"/>
      <c r="G18" s="24" t="s">
        <v>391</v>
      </c>
      <c r="H18" s="24" t="s">
        <v>392</v>
      </c>
      <c r="I18" s="24" t="s">
        <v>393</v>
      </c>
      <c r="J18" s="24" t="s">
        <v>189</v>
      </c>
      <c r="K18" s="24" t="s">
        <v>215</v>
      </c>
      <c r="L18" s="24" t="s">
        <v>216</v>
      </c>
      <c r="M18" s="25"/>
      <c r="N18" s="25"/>
      <c r="O18" s="25"/>
      <c r="Q18">
        <f t="shared" si="439"/>
        <v>13</v>
      </c>
      <c r="R18" t="e">
        <v>#NAME?</v>
      </c>
      <c r="T18" t="e">
        <v>#NAME?</v>
      </c>
      <c r="U18" s="13" t="e">
        <v>#NAME?</v>
      </c>
    </row>
    <row r="19">
      <c r="A19" s="15">
        <f t="shared" si="437"/>
        <v>16</v>
      </c>
      <c r="B19" s="46">
        <v>42.43</v>
      </c>
      <c r="D19" s="46">
        <f t="shared" si="438"/>
        <v>139.43000000000001</v>
      </c>
      <c r="E19" s="46"/>
      <c r="F19" s="26" t="s">
        <v>394</v>
      </c>
      <c r="G19" s="26" t="e">
        <v>#NAME?</v>
      </c>
      <c r="H19" s="26" t="e">
        <v>#NAME?</v>
      </c>
      <c r="I19" s="26" t="e">
        <f>G19/H19</f>
        <v>#NAME?</v>
      </c>
      <c r="J19" s="26" t="e">
        <f>TDIST(ABS(I19),$G$15,2)</f>
        <v>#NAME?</v>
      </c>
      <c r="K19" s="26" t="e">
        <f>G19-TINV(K$12,$G$15)*H19</f>
        <v>#NAME?</v>
      </c>
      <c r="L19" s="26" t="e">
        <f>G19+TINV(K$12,$G$15)*H19</f>
        <v>#NAME?</v>
      </c>
      <c r="Q19">
        <f t="shared" si="439"/>
        <v>14</v>
      </c>
      <c r="R19" t="e">
        <v>#NAME?</v>
      </c>
    </row>
    <row r="20">
      <c r="A20" s="15">
        <f t="shared" si="437"/>
        <v>17</v>
      </c>
      <c r="B20" s="46">
        <v>258.69999999999999</v>
      </c>
      <c r="D20" s="46">
        <f t="shared" si="438"/>
        <v>216.27000000000001</v>
      </c>
      <c r="E20" s="46"/>
      <c r="Q20">
        <f t="shared" si="439"/>
        <v>15</v>
      </c>
      <c r="R20" t="e">
        <v>#NAME?</v>
      </c>
    </row>
    <row r="21">
      <c r="A21" s="15">
        <f t="shared" si="437"/>
        <v>18</v>
      </c>
      <c r="B21" s="46">
        <v>6.8300000000000001</v>
      </c>
      <c r="D21" s="46">
        <f t="shared" si="438"/>
        <v>-251.87</v>
      </c>
      <c r="E21" s="46"/>
      <c r="Q21">
        <f t="shared" si="439"/>
        <v>16</v>
      </c>
      <c r="R21" t="e">
        <v>#NAME?</v>
      </c>
    </row>
    <row r="22">
      <c r="A22" s="15">
        <f t="shared" si="437"/>
        <v>19</v>
      </c>
      <c r="B22" s="46">
        <v>45.630000000000003</v>
      </c>
      <c r="D22" s="46">
        <f t="shared" si="438"/>
        <v>38.799999999999997</v>
      </c>
      <c r="E22" s="46"/>
      <c r="Q22">
        <f t="shared" si="439"/>
        <v>17</v>
      </c>
      <c r="R22" t="e">
        <v>#NAME?</v>
      </c>
    </row>
    <row r="23">
      <c r="A23" s="15">
        <f t="shared" si="437"/>
        <v>20</v>
      </c>
      <c r="B23" s="46">
        <v>-56.409999999999997</v>
      </c>
      <c r="D23" s="46">
        <f t="shared" si="438"/>
        <v>-102.04000000000001</v>
      </c>
      <c r="E23" s="46"/>
      <c r="Q23">
        <f t="shared" si="439"/>
        <v>18</v>
      </c>
      <c r="R23" t="e">
        <v>#NAME?</v>
      </c>
    </row>
    <row r="24">
      <c r="A24" s="15">
        <f t="shared" si="437"/>
        <v>21</v>
      </c>
      <c r="B24" s="46">
        <v>-101.23</v>
      </c>
      <c r="D24" s="46">
        <f t="shared" si="438"/>
        <v>-44.82</v>
      </c>
      <c r="E24" s="46"/>
      <c r="Q24">
        <f t="shared" si="439"/>
        <v>19</v>
      </c>
      <c r="R24" t="e">
        <v>#NAME?</v>
      </c>
    </row>
    <row r="25">
      <c r="A25" s="15">
        <f t="shared" si="437"/>
        <v>22</v>
      </c>
      <c r="B25" s="46">
        <v>-143.21000000000001</v>
      </c>
      <c r="D25" s="46">
        <f t="shared" si="438"/>
        <v>-41.979999999999997</v>
      </c>
      <c r="E25" s="46"/>
      <c r="Q25">
        <f t="shared" si="439"/>
        <v>20</v>
      </c>
      <c r="R25" t="e">
        <v>#NAME?</v>
      </c>
    </row>
    <row r="26">
      <c r="A26" s="15">
        <f t="shared" si="437"/>
        <v>23</v>
      </c>
      <c r="B26" s="46">
        <v>-286.77999999999997</v>
      </c>
      <c r="D26" s="46">
        <f t="shared" si="438"/>
        <v>-143.56999999999999</v>
      </c>
      <c r="E26" s="46"/>
      <c r="Q26">
        <f t="shared" si="439"/>
        <v>21</v>
      </c>
      <c r="R26" t="e">
        <v>#NAME?</v>
      </c>
    </row>
    <row r="27">
      <c r="A27" s="15">
        <f t="shared" si="437"/>
        <v>24</v>
      </c>
      <c r="B27" s="46">
        <v>-197.78999999999999</v>
      </c>
      <c r="D27" s="46">
        <f t="shared" si="438"/>
        <v>88.989999999999995</v>
      </c>
      <c r="E27" s="46"/>
      <c r="Q27">
        <f t="shared" si="439"/>
        <v>22</v>
      </c>
      <c r="R27" t="e">
        <v>#NAME?</v>
      </c>
    </row>
    <row r="28">
      <c r="A28" s="17">
        <f t="shared" si="437"/>
        <v>25</v>
      </c>
      <c r="B28" s="50">
        <v>-236.75</v>
      </c>
      <c r="D28" s="50">
        <f t="shared" si="438"/>
        <v>-38.960000000000001</v>
      </c>
      <c r="E28" s="46"/>
      <c r="Q28">
        <f t="shared" si="439"/>
        <v>23</v>
      </c>
      <c r="R28" t="e">
        <v>#NAME?</v>
      </c>
    </row>
    <row r="29">
      <c r="Q29">
        <f t="shared" si="439"/>
        <v>24</v>
      </c>
      <c r="R29" t="e">
        <v>#NAME?</v>
      </c>
    </row>
    <row r="30">
      <c r="A30" s="15" t="s">
        <v>283</v>
      </c>
      <c r="B30" s="46">
        <f>AVERAGE(B4:B28)</f>
        <v>-13.6092</v>
      </c>
      <c r="Q30" s="14">
        <f t="shared" si="439"/>
        <v>25</v>
      </c>
      <c r="R30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I20" activeCellId="0" sqref="I20"/>
    </sheetView>
  </sheetViews>
  <sheetFormatPr defaultRowHeight="14.25"/>
  <cols>
    <col customWidth="1" min="2" max="2" style="46" width="9.1785709999999998"/>
    <col customWidth="1" min="3" max="3" width="4.4553570000000002"/>
    <col customWidth="1" min="6" max="6" width="16.8125"/>
    <col customWidth="1" min="14" max="14" width="9.4553569999999993"/>
    <col customWidth="1" min="20" max="20" width="10.723214"/>
  </cols>
  <sheetData>
    <row r="1">
      <c r="A1" s="1" t="s">
        <v>77</v>
      </c>
      <c r="B1" s="47"/>
    </row>
    <row r="3">
      <c r="A3" s="4" t="s">
        <v>355</v>
      </c>
      <c r="B3" s="48" t="s">
        <v>367</v>
      </c>
      <c r="D3" s="4" t="s">
        <v>368</v>
      </c>
      <c r="F3" t="s">
        <v>369</v>
      </c>
      <c r="N3" t="s">
        <v>370</v>
      </c>
      <c r="Q3" t="s">
        <v>351</v>
      </c>
      <c r="R3">
        <v>0</v>
      </c>
      <c r="T3" t="s">
        <v>354</v>
      </c>
    </row>
    <row r="4">
      <c r="A4" s="15">
        <v>1</v>
      </c>
      <c r="B4" s="46">
        <v>50</v>
      </c>
      <c r="E4" s="46"/>
    </row>
    <row r="5">
      <c r="A5" s="15">
        <f t="shared" ref="A5:A10" si="441">A4+1</f>
        <v>2</v>
      </c>
      <c r="B5" s="46">
        <v>120.83</v>
      </c>
      <c r="D5" s="46">
        <f t="shared" ref="D5:D9" si="442">B5-B4</f>
        <v>70.829999999999998</v>
      </c>
      <c r="E5" s="46"/>
      <c r="F5" s="49" t="s">
        <v>371</v>
      </c>
      <c r="G5" s="49"/>
      <c r="I5" s="49"/>
      <c r="J5" s="49"/>
      <c r="N5" t="s">
        <v>176</v>
      </c>
      <c r="O5" s="7">
        <f>A28</f>
        <v>25</v>
      </c>
      <c r="Q5" s="24" t="s">
        <v>355</v>
      </c>
      <c r="R5" s="24" t="s">
        <v>173</v>
      </c>
      <c r="T5" t="s">
        <v>359</v>
      </c>
      <c r="U5" s="43" t="s">
        <v>372</v>
      </c>
    </row>
    <row r="6">
      <c r="A6" s="15">
        <f t="shared" si="441"/>
        <v>3</v>
      </c>
      <c r="B6" s="46">
        <v>-25.43</v>
      </c>
      <c r="D6" s="46">
        <f t="shared" si="442"/>
        <v>-146.25999999999999</v>
      </c>
      <c r="E6" s="46"/>
      <c r="F6" t="s">
        <v>373</v>
      </c>
      <c r="G6" t="e">
        <f>SQRT(G7)</f>
        <v>#NAME?</v>
      </c>
      <c r="I6" t="s">
        <v>374</v>
      </c>
      <c r="J6" t="e">
        <f>G10*LN(H15/G10)+2*(G14+1)</f>
        <v>#NAME?</v>
      </c>
      <c r="N6" t="s">
        <v>203</v>
      </c>
      <c r="O6" s="10">
        <f>K12</f>
        <v>5.0000000000000003e-02</v>
      </c>
      <c r="Q6">
        <v>1</v>
      </c>
      <c r="R6" t="e">
        <v>#NAME?</v>
      </c>
      <c r="T6" t="s">
        <v>362</v>
      </c>
      <c r="U6" s="44" t="s">
        <v>365</v>
      </c>
    </row>
    <row r="7">
      <c r="A7" s="15">
        <f t="shared" si="441"/>
        <v>4</v>
      </c>
      <c r="B7" s="46">
        <v>31.719999999999999</v>
      </c>
      <c r="D7" s="46">
        <f t="shared" si="442"/>
        <v>57.149999999999999</v>
      </c>
      <c r="E7" s="46"/>
      <c r="F7" t="s">
        <v>375</v>
      </c>
      <c r="G7" t="e">
        <f>H14/H16</f>
        <v>#NAME?</v>
      </c>
      <c r="I7" t="s">
        <v>376</v>
      </c>
      <c r="J7" t="e">
        <f>J6+2*(G14+2)*(G14+3)/(G10-G14-3)</f>
        <v>#NAME?</v>
      </c>
      <c r="N7" t="s">
        <v>377</v>
      </c>
      <c r="O7" s="10" t="e">
        <f>I20</f>
        <v>#NAME?</v>
      </c>
      <c r="Q7">
        <f t="shared" ref="Q7:Q10" si="443">Q6+1</f>
        <v>2</v>
      </c>
      <c r="R7" t="e">
        <v>#NAME?</v>
      </c>
      <c r="T7" t="s">
        <v>364</v>
      </c>
      <c r="U7" s="44" t="s">
        <v>365</v>
      </c>
    </row>
    <row r="8">
      <c r="A8" s="15">
        <f t="shared" si="441"/>
        <v>5</v>
      </c>
      <c r="B8" s="46">
        <v>94.790000000000006</v>
      </c>
      <c r="D8" s="46">
        <f t="shared" si="442"/>
        <v>63.07</v>
      </c>
      <c r="E8" s="46"/>
      <c r="F8" t="s">
        <v>378</v>
      </c>
      <c r="G8" t="e">
        <f>1-(1-G7)*(G10-1)/(G10-G14-1)</f>
        <v>#NAME?</v>
      </c>
      <c r="I8" s="14" t="s">
        <v>395</v>
      </c>
      <c r="J8" s="14" t="e">
        <f>G10*LN(H15/G10)+(G14+1)*LN(G10)</f>
        <v>#NAME?</v>
      </c>
      <c r="N8" t="s">
        <v>380</v>
      </c>
      <c r="O8" s="10" t="e">
        <v>#NAME?</v>
      </c>
      <c r="Q8">
        <f t="shared" si="443"/>
        <v>3</v>
      </c>
      <c r="R8" t="e">
        <v>#NAME?</v>
      </c>
      <c r="T8" t="s">
        <v>356</v>
      </c>
      <c r="U8" s="10">
        <v>0</v>
      </c>
    </row>
    <row r="9">
      <c r="A9" s="15">
        <f t="shared" si="441"/>
        <v>6</v>
      </c>
      <c r="B9" s="46">
        <v>61.060000000000002</v>
      </c>
      <c r="D9" s="46">
        <f t="shared" si="442"/>
        <v>-33.729999999999997</v>
      </c>
      <c r="E9" s="46"/>
      <c r="F9" t="s">
        <v>381</v>
      </c>
      <c r="G9" t="e">
        <f>SQRT(I15)</f>
        <v>#NAME?</v>
      </c>
      <c r="N9" t="s">
        <v>382</v>
      </c>
      <c r="O9" s="21" t="e">
        <f>IF(O7&lt;O8,"yes","no")</f>
        <v>#NAME?</v>
      </c>
      <c r="Q9">
        <f t="shared" si="443"/>
        <v>4</v>
      </c>
      <c r="R9" t="e">
        <v>#NAME?</v>
      </c>
      <c r="T9" t="s">
        <v>203</v>
      </c>
      <c r="U9" s="13">
        <v>5.0000000000000003e-02</v>
      </c>
    </row>
    <row r="10">
      <c r="A10" s="15">
        <f t="shared" si="441"/>
        <v>7</v>
      </c>
      <c r="B10" s="46">
        <v>87.510000000000005</v>
      </c>
      <c r="D10" s="46">
        <f>B10-B9</f>
        <v>26.449999999999999</v>
      </c>
      <c r="E10" s="46"/>
      <c r="F10" s="14" t="s">
        <v>383</v>
      </c>
      <c r="G10" s="14">
        <f>COUNT(D5:D28)</f>
        <v>24</v>
      </c>
      <c r="Q10">
        <f t="shared" si="443"/>
        <v>5</v>
      </c>
      <c r="R10" t="e">
        <v>#NAME?</v>
      </c>
    </row>
    <row r="11">
      <c r="A11" s="15">
        <f t="shared" ref="A11:A28" si="444">A10+1</f>
        <v>8</v>
      </c>
      <c r="B11" s="46">
        <v>-65.879999999999995</v>
      </c>
      <c r="D11" s="46">
        <f t="shared" ref="D11:D28" si="445">B11-B10</f>
        <v>-153.38999999999999</v>
      </c>
      <c r="E11" s="46"/>
      <c r="Q11">
        <f t="shared" ref="Q11:Q30" si="446">Q10+1</f>
        <v>6</v>
      </c>
      <c r="R11" t="e">
        <v>#NAME?</v>
      </c>
      <c r="T11" t="e">
        <v>#NAME?</v>
      </c>
      <c r="U11" s="7" t="e">
        <v>#NAME?</v>
      </c>
    </row>
    <row r="12">
      <c r="A12" s="15">
        <f t="shared" si="444"/>
        <v>9</v>
      </c>
      <c r="B12" s="46">
        <v>30.399999999999999</v>
      </c>
      <c r="D12" s="46">
        <f t="shared" si="445"/>
        <v>96.280000000000001</v>
      </c>
      <c r="E12" s="46"/>
      <c r="F12" t="s">
        <v>384</v>
      </c>
      <c r="J12" s="15" t="s">
        <v>385</v>
      </c>
      <c r="K12" s="15">
        <v>5.0000000000000003e-02</v>
      </c>
      <c r="Q12">
        <f t="shared" si="446"/>
        <v>7</v>
      </c>
      <c r="R12" t="e">
        <v>#NAME?</v>
      </c>
      <c r="T12" t="e">
        <v>#NAME?</v>
      </c>
      <c r="U12" s="10" t="e">
        <v>#NAME?</v>
      </c>
    </row>
    <row r="13">
      <c r="A13" s="15">
        <f t="shared" si="444"/>
        <v>10</v>
      </c>
      <c r="B13" s="46">
        <v>65.489999999999995</v>
      </c>
      <c r="D13" s="46">
        <f t="shared" si="445"/>
        <v>35.090000000000003</v>
      </c>
      <c r="E13" s="46"/>
      <c r="F13" s="24"/>
      <c r="G13" s="24" t="s">
        <v>294</v>
      </c>
      <c r="H13" s="24" t="s">
        <v>386</v>
      </c>
      <c r="I13" s="24" t="s">
        <v>387</v>
      </c>
      <c r="J13" s="24" t="s">
        <v>388</v>
      </c>
      <c r="K13" s="24" t="s">
        <v>189</v>
      </c>
      <c r="L13" s="24" t="s">
        <v>204</v>
      </c>
      <c r="Q13">
        <f t="shared" si="446"/>
        <v>8</v>
      </c>
      <c r="R13" t="e">
        <v>#NAME?</v>
      </c>
      <c r="T13" t="e">
        <v>#NAME?</v>
      </c>
      <c r="U13" s="44" t="e">
        <v>#NAME?</v>
      </c>
    </row>
    <row r="14">
      <c r="A14" s="15">
        <f t="shared" si="444"/>
        <v>11</v>
      </c>
      <c r="B14" s="46">
        <v>15.130000000000001</v>
      </c>
      <c r="D14" s="46">
        <f t="shared" si="445"/>
        <v>-50.359999999999999</v>
      </c>
      <c r="E14" s="46"/>
      <c r="F14" t="s">
        <v>389</v>
      </c>
      <c r="G14">
        <f>COUNT(B4)</f>
        <v>1</v>
      </c>
      <c r="H14" t="e">
        <v>#NAME?</v>
      </c>
      <c r="I14" t="e">
        <f t="shared" ref="I14:I15" si="447">H14/G14</f>
        <v>#NAME?</v>
      </c>
      <c r="J14" t="e">
        <f>I14/I15</f>
        <v>#NAME?</v>
      </c>
      <c r="K14" t="e">
        <f>FDIST(J14,G14,G15)</f>
        <v>#NAME?</v>
      </c>
      <c r="L14" s="15" t="e">
        <f>IF(K14&lt;K12,"yes","no")</f>
        <v>#NAME?</v>
      </c>
      <c r="Q14">
        <f t="shared" si="446"/>
        <v>9</v>
      </c>
      <c r="R14" t="e">
        <v>#NAME?</v>
      </c>
      <c r="T14" t="e">
        <v>#NAME?</v>
      </c>
      <c r="U14" s="10" t="e">
        <v>#NAME?</v>
      </c>
    </row>
    <row r="15">
      <c r="A15" s="15">
        <f t="shared" si="444"/>
        <v>12</v>
      </c>
      <c r="B15" s="46">
        <v>8.2300000000000004</v>
      </c>
      <c r="D15" s="46">
        <f t="shared" si="445"/>
        <v>-6.9000000000000004</v>
      </c>
      <c r="E15" s="46"/>
      <c r="F15" t="s">
        <v>342</v>
      </c>
      <c r="G15">
        <f>G16-G14</f>
        <v>22</v>
      </c>
      <c r="H15" t="e">
        <f>H16-H14</f>
        <v>#NAME?</v>
      </c>
      <c r="I15" t="e">
        <f t="shared" si="447"/>
        <v>#NAME?</v>
      </c>
      <c r="Q15">
        <f t="shared" si="446"/>
        <v>10</v>
      </c>
      <c r="R15" t="e">
        <v>#NAME?</v>
      </c>
      <c r="T15" t="e">
        <v>#NAME?</v>
      </c>
      <c r="U15" s="10" t="e">
        <v>#NAME?</v>
      </c>
    </row>
    <row r="16">
      <c r="A16" s="15">
        <f t="shared" si="444"/>
        <v>13</v>
      </c>
      <c r="B16" s="46">
        <v>-18.710000000000001</v>
      </c>
      <c r="D16" s="46">
        <f t="shared" si="445"/>
        <v>-26.940000000000001</v>
      </c>
      <c r="E16" s="46"/>
      <c r="F16" s="14" t="s">
        <v>390</v>
      </c>
      <c r="G16" s="14">
        <f>G10-1</f>
        <v>23</v>
      </c>
      <c r="H16" s="14">
        <f>DEVSQ(D5:D28)</f>
        <v>249433.30219583301</v>
      </c>
      <c r="I16" s="14"/>
      <c r="J16" s="14"/>
      <c r="K16" s="14"/>
      <c r="L16" s="14"/>
      <c r="Q16">
        <f t="shared" si="446"/>
        <v>11</v>
      </c>
      <c r="R16" t="e">
        <v>#NAME?</v>
      </c>
      <c r="T16" t="e">
        <v>#NAME?</v>
      </c>
      <c r="U16" s="10" t="e">
        <v>#NAME?</v>
      </c>
    </row>
    <row r="17">
      <c r="A17" s="15">
        <f t="shared" si="444"/>
        <v>14</v>
      </c>
      <c r="B17" s="46">
        <v>-29.789999999999999</v>
      </c>
      <c r="D17" s="46">
        <f t="shared" si="445"/>
        <v>-11.08</v>
      </c>
      <c r="E17" s="46"/>
      <c r="Q17">
        <f t="shared" si="446"/>
        <v>12</v>
      </c>
      <c r="R17" t="e">
        <v>#NAME?</v>
      </c>
      <c r="T17" t="e">
        <v>#NAME?</v>
      </c>
      <c r="U17" s="10" t="e">
        <v>#NAME?</v>
      </c>
    </row>
    <row r="18">
      <c r="A18" s="15">
        <f t="shared" si="444"/>
        <v>15</v>
      </c>
      <c r="B18" s="46">
        <v>-97</v>
      </c>
      <c r="D18" s="46">
        <f t="shared" si="445"/>
        <v>-67.209999999999994</v>
      </c>
      <c r="E18" s="46"/>
      <c r="F18" s="24"/>
      <c r="G18" s="24" t="s">
        <v>391</v>
      </c>
      <c r="H18" s="24" t="s">
        <v>392</v>
      </c>
      <c r="I18" s="24" t="s">
        <v>393</v>
      </c>
      <c r="J18" s="24" t="s">
        <v>189</v>
      </c>
      <c r="K18" s="24" t="s">
        <v>215</v>
      </c>
      <c r="L18" s="24" t="s">
        <v>216</v>
      </c>
      <c r="N18" s="25"/>
      <c r="O18" s="25"/>
      <c r="Q18">
        <f t="shared" si="446"/>
        <v>13</v>
      </c>
      <c r="R18" t="e">
        <v>#NAME?</v>
      </c>
      <c r="T18" t="e">
        <v>#NAME?</v>
      </c>
      <c r="U18" s="21" t="e">
        <v>#NAME?</v>
      </c>
    </row>
    <row r="19">
      <c r="A19" s="15">
        <f t="shared" si="444"/>
        <v>16</v>
      </c>
      <c r="B19" s="46">
        <v>42.43</v>
      </c>
      <c r="D19" s="46">
        <f t="shared" si="445"/>
        <v>139.43000000000001</v>
      </c>
      <c r="E19" s="46"/>
      <c r="F19" t="s">
        <v>396</v>
      </c>
      <c r="G19" t="e">
        <v>#NAME?</v>
      </c>
      <c r="H19" t="e">
        <v>#NAME?</v>
      </c>
      <c r="I19" t="e">
        <f t="shared" ref="I19:I20" si="448">G19/H19</f>
        <v>#NAME?</v>
      </c>
      <c r="J19" t="e">
        <f t="shared" ref="J19:J20" si="449">TDIST(ABS(I19),$G$15,2)</f>
        <v>#NAME?</v>
      </c>
      <c r="K19" t="e">
        <f t="shared" ref="K19:K20" si="450">G19-TINV(K$12,$G$15)*H19</f>
        <v>#NAME?</v>
      </c>
      <c r="L19" t="e">
        <f t="shared" ref="L19:L20" si="451">G19+TINV(K$12,$G$15)*H19</f>
        <v>#NAME?</v>
      </c>
      <c r="Q19">
        <f t="shared" si="446"/>
        <v>14</v>
      </c>
      <c r="R19" t="e">
        <v>#NAME?</v>
      </c>
    </row>
    <row r="20">
      <c r="A20" s="15">
        <f t="shared" si="444"/>
        <v>17</v>
      </c>
      <c r="B20" s="46">
        <v>258.69999999999999</v>
      </c>
      <c r="D20" s="46">
        <f t="shared" si="445"/>
        <v>216.27000000000001</v>
      </c>
      <c r="E20" s="46"/>
      <c r="F20" s="14" t="s">
        <v>394</v>
      </c>
      <c r="G20" s="14" t="e">
        <v>#NAME?</v>
      </c>
      <c r="H20" s="14" t="e">
        <v>#NAME?</v>
      </c>
      <c r="I20" s="14" t="e">
        <f t="shared" si="448"/>
        <v>#NAME?</v>
      </c>
      <c r="J20" s="14" t="e">
        <f t="shared" si="449"/>
        <v>#NAME?</v>
      </c>
      <c r="K20" s="14" t="e">
        <f t="shared" si="450"/>
        <v>#NAME?</v>
      </c>
      <c r="L20" s="14" t="e">
        <f t="shared" si="451"/>
        <v>#NAME?</v>
      </c>
      <c r="Q20">
        <f t="shared" si="446"/>
        <v>15</v>
      </c>
      <c r="R20" t="e">
        <v>#NAME?</v>
      </c>
    </row>
    <row r="21">
      <c r="A21" s="15">
        <f t="shared" si="444"/>
        <v>18</v>
      </c>
      <c r="B21" s="46">
        <v>6.8300000000000001</v>
      </c>
      <c r="D21" s="46">
        <f t="shared" si="445"/>
        <v>-251.87</v>
      </c>
      <c r="E21" s="46"/>
      <c r="Q21">
        <f t="shared" si="446"/>
        <v>16</v>
      </c>
      <c r="R21" t="e">
        <v>#NAME?</v>
      </c>
    </row>
    <row r="22">
      <c r="A22" s="15">
        <f t="shared" si="444"/>
        <v>19</v>
      </c>
      <c r="B22" s="46">
        <v>45.630000000000003</v>
      </c>
      <c r="D22" s="46">
        <f t="shared" si="445"/>
        <v>38.799999999999997</v>
      </c>
      <c r="E22" s="46"/>
      <c r="Q22">
        <f t="shared" si="446"/>
        <v>17</v>
      </c>
      <c r="R22" t="e">
        <v>#NAME?</v>
      </c>
    </row>
    <row r="23">
      <c r="A23" s="15">
        <f t="shared" si="444"/>
        <v>20</v>
      </c>
      <c r="B23" s="46">
        <v>-56.409999999999997</v>
      </c>
      <c r="D23" s="46">
        <f t="shared" si="445"/>
        <v>-102.04000000000001</v>
      </c>
      <c r="E23" s="46"/>
      <c r="Q23">
        <f t="shared" si="446"/>
        <v>18</v>
      </c>
      <c r="R23" t="e">
        <v>#NAME?</v>
      </c>
    </row>
    <row r="24">
      <c r="A24" s="15">
        <f t="shared" si="444"/>
        <v>21</v>
      </c>
      <c r="B24" s="46">
        <v>-101.23</v>
      </c>
      <c r="D24" s="46">
        <f t="shared" si="445"/>
        <v>-44.82</v>
      </c>
      <c r="E24" s="46"/>
      <c r="Q24">
        <f t="shared" si="446"/>
        <v>19</v>
      </c>
      <c r="R24" t="e">
        <v>#NAME?</v>
      </c>
    </row>
    <row r="25">
      <c r="A25" s="15">
        <f t="shared" si="444"/>
        <v>22</v>
      </c>
      <c r="B25" s="46">
        <v>-143.21000000000001</v>
      </c>
      <c r="D25" s="46">
        <f t="shared" si="445"/>
        <v>-41.979999999999997</v>
      </c>
      <c r="E25" s="46"/>
      <c r="Q25">
        <f t="shared" si="446"/>
        <v>20</v>
      </c>
      <c r="R25" t="e">
        <v>#NAME?</v>
      </c>
    </row>
    <row r="26">
      <c r="A26" s="15">
        <f t="shared" si="444"/>
        <v>23</v>
      </c>
      <c r="B26" s="46">
        <v>-286.77999999999997</v>
      </c>
      <c r="D26" s="46">
        <f t="shared" si="445"/>
        <v>-143.56999999999999</v>
      </c>
      <c r="E26" s="46"/>
      <c r="Q26">
        <f t="shared" si="446"/>
        <v>21</v>
      </c>
      <c r="R26" t="e">
        <v>#NAME?</v>
      </c>
    </row>
    <row r="27">
      <c r="A27" s="15">
        <f t="shared" si="444"/>
        <v>24</v>
      </c>
      <c r="B27" s="46">
        <v>-197.78999999999999</v>
      </c>
      <c r="D27" s="46">
        <f t="shared" si="445"/>
        <v>88.989999999999995</v>
      </c>
      <c r="E27" s="46"/>
      <c r="Q27">
        <f t="shared" si="446"/>
        <v>22</v>
      </c>
      <c r="R27" t="e">
        <v>#NAME?</v>
      </c>
    </row>
    <row r="28">
      <c r="A28" s="17">
        <f t="shared" si="444"/>
        <v>25</v>
      </c>
      <c r="B28" s="50">
        <v>-236.75</v>
      </c>
      <c r="D28" s="50">
        <f t="shared" si="445"/>
        <v>-38.960000000000001</v>
      </c>
      <c r="E28" s="46"/>
      <c r="Q28">
        <f t="shared" si="446"/>
        <v>23</v>
      </c>
      <c r="R28" t="e">
        <v>#NAME?</v>
      </c>
    </row>
    <row r="29">
      <c r="Q29">
        <f t="shared" si="446"/>
        <v>24</v>
      </c>
      <c r="R29" t="e">
        <v>#NAME?</v>
      </c>
    </row>
    <row r="30">
      <c r="A30" s="15" t="s">
        <v>283</v>
      </c>
      <c r="B30" s="46">
        <f>AVERAGE(B4:B28)</f>
        <v>-13.6092</v>
      </c>
      <c r="Q30" s="14">
        <f t="shared" si="446"/>
        <v>25</v>
      </c>
      <c r="R30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I20" activeCellId="0" sqref="I20"/>
    </sheetView>
  </sheetViews>
  <sheetFormatPr defaultRowHeight="14.25"/>
  <cols>
    <col customWidth="1" min="2" max="2" style="46" width="9.1785709999999998"/>
    <col customWidth="1" min="3" max="3" width="4.4553570000000002"/>
    <col customWidth="1" min="6" max="6" width="16.8125"/>
    <col customWidth="1" min="14" max="14" width="10.544643000000001"/>
    <col customWidth="1" min="20" max="20" width="10.723214"/>
  </cols>
  <sheetData>
    <row r="1">
      <c r="A1" s="1" t="s">
        <v>77</v>
      </c>
      <c r="B1" s="47"/>
    </row>
    <row r="3">
      <c r="A3" s="4" t="s">
        <v>355</v>
      </c>
      <c r="B3" s="48" t="s">
        <v>367</v>
      </c>
      <c r="D3" s="4" t="s">
        <v>368</v>
      </c>
      <c r="F3" t="s">
        <v>369</v>
      </c>
      <c r="N3" t="s">
        <v>370</v>
      </c>
      <c r="Q3" t="s">
        <v>351</v>
      </c>
      <c r="R3">
        <v>0</v>
      </c>
      <c r="T3" t="s">
        <v>354</v>
      </c>
    </row>
    <row r="4">
      <c r="A4" s="15">
        <v>1</v>
      </c>
      <c r="B4" s="46">
        <v>50</v>
      </c>
      <c r="E4" s="46"/>
    </row>
    <row r="5">
      <c r="A5" s="15">
        <f t="shared" ref="A5:A10" si="452">A4+1</f>
        <v>2</v>
      </c>
      <c r="B5" s="46">
        <v>120.83</v>
      </c>
      <c r="D5" s="46">
        <f t="shared" ref="D5:D9" si="453">B5-B4</f>
        <v>70.829999999999998</v>
      </c>
      <c r="E5" s="46"/>
      <c r="F5" s="49" t="s">
        <v>371</v>
      </c>
      <c r="G5" s="49"/>
      <c r="I5" s="49"/>
      <c r="J5" s="49"/>
      <c r="N5" t="s">
        <v>176</v>
      </c>
      <c r="O5" s="7">
        <f>A28</f>
        <v>25</v>
      </c>
      <c r="Q5" s="24" t="s">
        <v>355</v>
      </c>
      <c r="R5" s="24" t="s">
        <v>173</v>
      </c>
      <c r="T5" t="s">
        <v>359</v>
      </c>
      <c r="U5" s="43" t="s">
        <v>372</v>
      </c>
    </row>
    <row r="6">
      <c r="A6" s="15">
        <f t="shared" si="452"/>
        <v>3</v>
      </c>
      <c r="B6" s="46">
        <v>-25.43</v>
      </c>
      <c r="D6" s="46">
        <f t="shared" si="453"/>
        <v>-146.25999999999999</v>
      </c>
      <c r="E6" s="46"/>
      <c r="F6" t="s">
        <v>373</v>
      </c>
      <c r="G6" t="e">
        <f>SQRT(G7)</f>
        <v>#NAME?</v>
      </c>
      <c r="I6" t="s">
        <v>374</v>
      </c>
      <c r="J6" t="e">
        <f>G10*LN(H15/G10)+2*(G14+1)</f>
        <v>#NAME?</v>
      </c>
      <c r="N6" t="s">
        <v>203</v>
      </c>
      <c r="O6" s="10">
        <f>K12</f>
        <v>5.0000000000000003e-02</v>
      </c>
      <c r="Q6">
        <v>1</v>
      </c>
      <c r="R6" t="e">
        <v>#NAME?</v>
      </c>
      <c r="T6" t="s">
        <v>362</v>
      </c>
      <c r="U6" s="44" t="s">
        <v>365</v>
      </c>
    </row>
    <row r="7">
      <c r="A7" s="15">
        <f t="shared" si="452"/>
        <v>4</v>
      </c>
      <c r="B7" s="46">
        <v>31.719999999999999</v>
      </c>
      <c r="D7" s="46">
        <f t="shared" si="453"/>
        <v>57.149999999999999</v>
      </c>
      <c r="E7" s="46"/>
      <c r="F7" t="s">
        <v>375</v>
      </c>
      <c r="G7" t="e">
        <f>H14/H16</f>
        <v>#NAME?</v>
      </c>
      <c r="I7" t="s">
        <v>376</v>
      </c>
      <c r="J7" t="e">
        <f>J6+2*(G14+2)*(G14+3)/(G10-G14-3)</f>
        <v>#NAME?</v>
      </c>
      <c r="N7" t="s">
        <v>377</v>
      </c>
      <c r="O7" s="10" t="e">
        <f>I21</f>
        <v>#NAME?</v>
      </c>
      <c r="Q7">
        <f t="shared" ref="Q7:Q10" si="454">Q6+1</f>
        <v>2</v>
      </c>
      <c r="R7" t="e">
        <v>#NAME?</v>
      </c>
      <c r="T7" t="s">
        <v>364</v>
      </c>
      <c r="U7" s="44" t="s">
        <v>365</v>
      </c>
    </row>
    <row r="8">
      <c r="A8" s="15">
        <f t="shared" si="452"/>
        <v>5</v>
      </c>
      <c r="B8" s="46">
        <v>94.790000000000006</v>
      </c>
      <c r="D8" s="46">
        <f t="shared" si="453"/>
        <v>63.07</v>
      </c>
      <c r="E8" s="46"/>
      <c r="F8" t="s">
        <v>378</v>
      </c>
      <c r="G8" t="e">
        <f>1-(1-G7)*(G10-1)/(G10-G14-1)</f>
        <v>#NAME?</v>
      </c>
      <c r="I8" s="14" t="s">
        <v>395</v>
      </c>
      <c r="J8" s="14" t="e">
        <f>G10*LN(H15/G10)+(G14+1)*LN(G10)</f>
        <v>#NAME?</v>
      </c>
      <c r="N8" t="s">
        <v>380</v>
      </c>
      <c r="O8" s="10" t="e">
        <v>#NAME?</v>
      </c>
      <c r="Q8">
        <f t="shared" si="454"/>
        <v>3</v>
      </c>
      <c r="R8" t="e">
        <v>#NAME?</v>
      </c>
      <c r="T8" t="s">
        <v>356</v>
      </c>
      <c r="U8" s="10">
        <v>0</v>
      </c>
    </row>
    <row r="9">
      <c r="A9" s="15">
        <f t="shared" si="452"/>
        <v>6</v>
      </c>
      <c r="B9" s="46">
        <v>61.060000000000002</v>
      </c>
      <c r="D9" s="46">
        <f t="shared" si="453"/>
        <v>-33.729999999999997</v>
      </c>
      <c r="E9" s="46"/>
      <c r="F9" t="s">
        <v>381</v>
      </c>
      <c r="G9" t="e">
        <f>SQRT(I15)</f>
        <v>#NAME?</v>
      </c>
      <c r="N9" t="s">
        <v>382</v>
      </c>
      <c r="O9" s="44" t="e">
        <f>IF(O7&lt;O8,"yes","no")</f>
        <v>#NAME?</v>
      </c>
      <c r="Q9">
        <f t="shared" si="454"/>
        <v>4</v>
      </c>
      <c r="R9" t="e">
        <v>#NAME?</v>
      </c>
      <c r="T9" t="s">
        <v>203</v>
      </c>
      <c r="U9" s="13">
        <v>5.0000000000000003e-02</v>
      </c>
    </row>
    <row r="10">
      <c r="A10" s="15">
        <f t="shared" si="452"/>
        <v>7</v>
      </c>
      <c r="B10" s="46">
        <v>87.510000000000005</v>
      </c>
      <c r="D10" s="46">
        <f>B10-B9</f>
        <v>26.449999999999999</v>
      </c>
      <c r="E10" s="46"/>
      <c r="F10" s="14" t="s">
        <v>383</v>
      </c>
      <c r="G10" s="14">
        <f>COUNT(D5:D28)</f>
        <v>24</v>
      </c>
      <c r="N10" t="s">
        <v>189</v>
      </c>
      <c r="O10" s="21" t="e">
        <v>#NAME?</v>
      </c>
      <c r="Q10">
        <f t="shared" si="454"/>
        <v>5</v>
      </c>
      <c r="R10" t="e">
        <v>#NAME?</v>
      </c>
    </row>
    <row r="11">
      <c r="A11" s="15">
        <f t="shared" ref="A11:A28" si="455">A10+1</f>
        <v>8</v>
      </c>
      <c r="B11" s="46">
        <v>-65.879999999999995</v>
      </c>
      <c r="D11" s="46">
        <f t="shared" ref="D11:D28" si="456">B11-B10</f>
        <v>-153.38999999999999</v>
      </c>
      <c r="E11" s="46"/>
      <c r="Q11">
        <f t="shared" ref="Q11:Q30" si="457">Q10+1</f>
        <v>6</v>
      </c>
      <c r="R11" t="e">
        <v>#NAME?</v>
      </c>
      <c r="T11" t="e">
        <v>#NAME?</v>
      </c>
      <c r="U11" s="7" t="e">
        <v>#NAME?</v>
      </c>
    </row>
    <row r="12">
      <c r="A12" s="15">
        <f t="shared" si="455"/>
        <v>9</v>
      </c>
      <c r="B12" s="46">
        <v>30.399999999999999</v>
      </c>
      <c r="D12" s="46">
        <f t="shared" si="456"/>
        <v>96.280000000000001</v>
      </c>
      <c r="E12" s="46"/>
      <c r="F12" t="s">
        <v>384</v>
      </c>
      <c r="J12" s="15" t="s">
        <v>385</v>
      </c>
      <c r="K12" s="15">
        <v>5.0000000000000003e-02</v>
      </c>
      <c r="Q12">
        <f t="shared" si="457"/>
        <v>7</v>
      </c>
      <c r="R12" t="e">
        <v>#NAME?</v>
      </c>
      <c r="T12" t="e">
        <v>#NAME?</v>
      </c>
      <c r="U12" s="10" t="e">
        <v>#NAME?</v>
      </c>
    </row>
    <row r="13">
      <c r="A13" s="15">
        <f t="shared" si="455"/>
        <v>10</v>
      </c>
      <c r="B13" s="46">
        <v>65.489999999999995</v>
      </c>
      <c r="D13" s="46">
        <f t="shared" si="456"/>
        <v>35.090000000000003</v>
      </c>
      <c r="E13" s="46"/>
      <c r="F13" s="24"/>
      <c r="G13" s="24" t="s">
        <v>294</v>
      </c>
      <c r="H13" s="24" t="s">
        <v>386</v>
      </c>
      <c r="I13" s="24" t="s">
        <v>387</v>
      </c>
      <c r="J13" s="24" t="s">
        <v>388</v>
      </c>
      <c r="K13" s="24" t="s">
        <v>189</v>
      </c>
      <c r="L13" s="24" t="s">
        <v>204</v>
      </c>
      <c r="Q13">
        <f t="shared" si="457"/>
        <v>8</v>
      </c>
      <c r="R13" t="e">
        <v>#NAME?</v>
      </c>
      <c r="T13" t="e">
        <v>#NAME?</v>
      </c>
      <c r="U13" s="44" t="e">
        <v>#NAME?</v>
      </c>
    </row>
    <row r="14">
      <c r="A14" s="15">
        <f t="shared" si="455"/>
        <v>11</v>
      </c>
      <c r="B14" s="46">
        <v>15.130000000000001</v>
      </c>
      <c r="D14" s="46">
        <f t="shared" si="456"/>
        <v>-50.359999999999999</v>
      </c>
      <c r="E14" s="46"/>
      <c r="F14" t="s">
        <v>389</v>
      </c>
      <c r="G14">
        <f>COUNT(A4:B4)</f>
        <v>2</v>
      </c>
      <c r="H14" t="e">
        <v>#NAME?</v>
      </c>
      <c r="I14" t="e">
        <f t="shared" ref="I14:I15" si="458">H14/G14</f>
        <v>#NAME?</v>
      </c>
      <c r="J14" t="e">
        <f>I14/I15</f>
        <v>#NAME?</v>
      </c>
      <c r="K14" t="e">
        <f>FDIST(J14,G14,G15)</f>
        <v>#NAME?</v>
      </c>
      <c r="L14" s="15" t="e">
        <f>IF(K14&lt;K12,"yes","no")</f>
        <v>#NAME?</v>
      </c>
      <c r="Q14">
        <f t="shared" si="457"/>
        <v>9</v>
      </c>
      <c r="R14" t="e">
        <v>#NAME?</v>
      </c>
      <c r="T14" t="e">
        <v>#NAME?</v>
      </c>
      <c r="U14" s="10" t="e">
        <v>#NAME?</v>
      </c>
    </row>
    <row r="15">
      <c r="A15" s="15">
        <f t="shared" si="455"/>
        <v>12</v>
      </c>
      <c r="B15" s="46">
        <v>8.2300000000000004</v>
      </c>
      <c r="D15" s="46">
        <f t="shared" si="456"/>
        <v>-6.9000000000000004</v>
      </c>
      <c r="E15" s="46"/>
      <c r="F15" t="s">
        <v>342</v>
      </c>
      <c r="G15">
        <f>G16-G14</f>
        <v>21</v>
      </c>
      <c r="H15" t="e">
        <f>H16-H14</f>
        <v>#NAME?</v>
      </c>
      <c r="I15" t="e">
        <f t="shared" si="458"/>
        <v>#NAME?</v>
      </c>
      <c r="Q15">
        <f t="shared" si="457"/>
        <v>10</v>
      </c>
      <c r="R15" t="e">
        <v>#NAME?</v>
      </c>
      <c r="T15" t="e">
        <v>#NAME?</v>
      </c>
      <c r="U15" s="10" t="e">
        <v>#NAME?</v>
      </c>
    </row>
    <row r="16">
      <c r="A16" s="15">
        <f t="shared" si="455"/>
        <v>13</v>
      </c>
      <c r="B16" s="46">
        <v>-18.710000000000001</v>
      </c>
      <c r="D16" s="46">
        <f t="shared" si="456"/>
        <v>-26.940000000000001</v>
      </c>
      <c r="E16" s="46"/>
      <c r="F16" s="14" t="s">
        <v>390</v>
      </c>
      <c r="G16" s="14">
        <f>G10-1</f>
        <v>23</v>
      </c>
      <c r="H16" s="14">
        <f>DEVSQ(D5:D28)</f>
        <v>249433.30219583301</v>
      </c>
      <c r="I16" s="14"/>
      <c r="J16" s="14"/>
      <c r="K16" s="14"/>
      <c r="L16" s="14"/>
      <c r="Q16">
        <f t="shared" si="457"/>
        <v>11</v>
      </c>
      <c r="R16" t="e">
        <v>#NAME?</v>
      </c>
      <c r="T16" t="e">
        <v>#NAME?</v>
      </c>
      <c r="U16" s="10" t="e">
        <v>#NAME?</v>
      </c>
    </row>
    <row r="17">
      <c r="A17" s="15">
        <f t="shared" si="455"/>
        <v>14</v>
      </c>
      <c r="B17" s="46">
        <v>-29.789999999999999</v>
      </c>
      <c r="D17" s="46">
        <f t="shared" si="456"/>
        <v>-11.08</v>
      </c>
      <c r="E17" s="46"/>
      <c r="Q17">
        <f t="shared" si="457"/>
        <v>12</v>
      </c>
      <c r="R17" t="e">
        <v>#NAME?</v>
      </c>
      <c r="T17" t="e">
        <v>#NAME?</v>
      </c>
      <c r="U17" s="10" t="e">
        <v>#NAME?</v>
      </c>
    </row>
    <row r="18">
      <c r="A18" s="15">
        <f t="shared" si="455"/>
        <v>15</v>
      </c>
      <c r="B18" s="46">
        <v>-97</v>
      </c>
      <c r="D18" s="46">
        <f t="shared" si="456"/>
        <v>-67.209999999999994</v>
      </c>
      <c r="E18" s="46"/>
      <c r="F18" s="24"/>
      <c r="G18" s="24" t="s">
        <v>391</v>
      </c>
      <c r="H18" s="24" t="s">
        <v>392</v>
      </c>
      <c r="I18" s="24" t="s">
        <v>393</v>
      </c>
      <c r="J18" s="24" t="s">
        <v>189</v>
      </c>
      <c r="K18" s="24" t="s">
        <v>215</v>
      </c>
      <c r="L18" s="24" t="s">
        <v>216</v>
      </c>
      <c r="M18" s="24" t="s">
        <v>397</v>
      </c>
      <c r="N18" s="25"/>
      <c r="O18" s="25"/>
      <c r="Q18">
        <f t="shared" si="457"/>
        <v>13</v>
      </c>
      <c r="R18" t="e">
        <v>#NAME?</v>
      </c>
      <c r="T18" t="e">
        <v>#NAME?</v>
      </c>
      <c r="U18" s="21" t="e">
        <v>#NAME?</v>
      </c>
    </row>
    <row r="19">
      <c r="A19" s="15">
        <f t="shared" si="455"/>
        <v>16</v>
      </c>
      <c r="B19" s="46">
        <v>42.43</v>
      </c>
      <c r="D19" s="46">
        <f t="shared" si="456"/>
        <v>139.43000000000001</v>
      </c>
      <c r="E19" s="46"/>
      <c r="F19" t="s">
        <v>396</v>
      </c>
      <c r="G19" t="e">
        <v>#NAME?</v>
      </c>
      <c r="H19" t="e">
        <v>#NAME?</v>
      </c>
      <c r="I19" t="e">
        <f t="shared" ref="I19:I21" si="459">G19/H19</f>
        <v>#NAME?</v>
      </c>
      <c r="J19" t="e">
        <f t="shared" ref="J19:J21" si="460">TDIST(ABS(I19),$G$15,2)</f>
        <v>#NAME?</v>
      </c>
      <c r="K19" t="e">
        <f t="shared" ref="K19:K21" si="461">G19-TINV(K$12,$G$15)*H19</f>
        <v>#NAME?</v>
      </c>
      <c r="L19" t="e">
        <f t="shared" ref="L19:L21" si="462">G19+TINV(K$12,$G$15)*H19</f>
        <v>#NAME?</v>
      </c>
      <c r="Q19">
        <f t="shared" si="457"/>
        <v>14</v>
      </c>
      <c r="R19" t="e">
        <v>#NAME?</v>
      </c>
    </row>
    <row r="20">
      <c r="A20" s="15">
        <f t="shared" si="455"/>
        <v>17</v>
      </c>
      <c r="B20" s="46">
        <v>258.69999999999999</v>
      </c>
      <c r="D20" s="46">
        <f t="shared" si="456"/>
        <v>216.27000000000001</v>
      </c>
      <c r="E20" s="46"/>
      <c r="F20" t="s">
        <v>398</v>
      </c>
      <c r="G20" t="e">
        <v>#NAME?</v>
      </c>
      <c r="H20" t="e">
        <v>#NAME?</v>
      </c>
      <c r="I20" t="e">
        <f t="shared" si="459"/>
        <v>#NAME?</v>
      </c>
      <c r="J20" t="e">
        <f t="shared" si="460"/>
        <v>#NAME?</v>
      </c>
      <c r="K20" t="e">
        <f t="shared" si="461"/>
        <v>#NAME?</v>
      </c>
      <c r="L20" t="e">
        <f t="shared" si="462"/>
        <v>#NAME?</v>
      </c>
      <c r="M20" t="e">
        <v>#NAME?</v>
      </c>
      <c r="Q20">
        <f t="shared" si="457"/>
        <v>15</v>
      </c>
      <c r="R20" t="e">
        <v>#NAME?</v>
      </c>
    </row>
    <row r="21">
      <c r="A21" s="15">
        <f t="shared" si="455"/>
        <v>18</v>
      </c>
      <c r="B21" s="46">
        <v>6.8300000000000001</v>
      </c>
      <c r="D21" s="46">
        <f t="shared" si="456"/>
        <v>-251.87</v>
      </c>
      <c r="E21" s="46"/>
      <c r="F21" s="14" t="s">
        <v>394</v>
      </c>
      <c r="G21" s="14" t="e">
        <v>#NAME?</v>
      </c>
      <c r="H21" s="14" t="e">
        <v>#NAME?</v>
      </c>
      <c r="I21" s="14" t="e">
        <f t="shared" si="459"/>
        <v>#NAME?</v>
      </c>
      <c r="J21" s="14" t="e">
        <f t="shared" si="460"/>
        <v>#NAME?</v>
      </c>
      <c r="K21" s="14" t="e">
        <f t="shared" si="461"/>
        <v>#NAME?</v>
      </c>
      <c r="L21" s="14" t="e">
        <f t="shared" si="462"/>
        <v>#NAME?</v>
      </c>
      <c r="M21" s="14" t="e">
        <v>#NAME?</v>
      </c>
      <c r="Q21">
        <f t="shared" si="457"/>
        <v>16</v>
      </c>
      <c r="R21" t="e">
        <v>#NAME?</v>
      </c>
      <c r="T21" t="e">
        <v>#NAME?</v>
      </c>
      <c r="U21" s="7" t="e">
        <v>#NAME?</v>
      </c>
    </row>
    <row r="22">
      <c r="A22" s="15">
        <f t="shared" si="455"/>
        <v>19</v>
      </c>
      <c r="B22" s="46">
        <v>45.630000000000003</v>
      </c>
      <c r="D22" s="46">
        <f t="shared" si="456"/>
        <v>38.799999999999997</v>
      </c>
      <c r="E22" s="46"/>
      <c r="Q22">
        <f t="shared" si="457"/>
        <v>17</v>
      </c>
      <c r="R22" t="e">
        <v>#NAME?</v>
      </c>
      <c r="T22" t="e">
        <v>#NAME?</v>
      </c>
      <c r="U22" s="10" t="e">
        <v>#NAME?</v>
      </c>
    </row>
    <row r="23">
      <c r="A23" s="15">
        <f t="shared" si="455"/>
        <v>20</v>
      </c>
      <c r="B23" s="46">
        <v>-56.409999999999997</v>
      </c>
      <c r="D23" s="46">
        <f t="shared" si="456"/>
        <v>-102.04000000000001</v>
      </c>
      <c r="E23" s="46"/>
      <c r="Q23">
        <f t="shared" si="457"/>
        <v>18</v>
      </c>
      <c r="R23" t="e">
        <v>#NAME?</v>
      </c>
      <c r="T23" t="e">
        <v>#NAME?</v>
      </c>
      <c r="U23" s="21" t="e">
        <v>#NAME?</v>
      </c>
    </row>
    <row r="24">
      <c r="A24" s="15">
        <f t="shared" si="455"/>
        <v>21</v>
      </c>
      <c r="B24" s="46">
        <v>-101.23</v>
      </c>
      <c r="D24" s="46">
        <f t="shared" si="456"/>
        <v>-44.82</v>
      </c>
      <c r="E24" s="46"/>
      <c r="Q24">
        <f t="shared" si="457"/>
        <v>19</v>
      </c>
      <c r="R24" t="e">
        <v>#NAME?</v>
      </c>
    </row>
    <row r="25">
      <c r="A25" s="15">
        <f t="shared" si="455"/>
        <v>22</v>
      </c>
      <c r="B25" s="46">
        <v>-143.21000000000001</v>
      </c>
      <c r="D25" s="46">
        <f t="shared" si="456"/>
        <v>-41.979999999999997</v>
      </c>
      <c r="E25" s="46"/>
      <c r="Q25">
        <f t="shared" si="457"/>
        <v>20</v>
      </c>
      <c r="R25" t="e">
        <v>#NAME?</v>
      </c>
      <c r="T25" t="s">
        <v>380</v>
      </c>
      <c r="U25" s="18" t="e">
        <v>#NAME?</v>
      </c>
    </row>
    <row r="26">
      <c r="A26" s="15">
        <f t="shared" si="455"/>
        <v>23</v>
      </c>
      <c r="B26" s="46">
        <v>-286.77999999999997</v>
      </c>
      <c r="D26" s="46">
        <f t="shared" si="456"/>
        <v>-143.56999999999999</v>
      </c>
      <c r="E26" s="46"/>
      <c r="Q26">
        <f t="shared" si="457"/>
        <v>21</v>
      </c>
      <c r="R26" t="e">
        <v>#NAME?</v>
      </c>
    </row>
    <row r="27">
      <c r="A27" s="15">
        <f t="shared" si="455"/>
        <v>24</v>
      </c>
      <c r="B27" s="46">
        <v>-197.78999999999999</v>
      </c>
      <c r="D27" s="46">
        <f t="shared" si="456"/>
        <v>88.989999999999995</v>
      </c>
      <c r="E27" s="46"/>
      <c r="Q27">
        <f t="shared" si="457"/>
        <v>22</v>
      </c>
      <c r="R27" t="e">
        <v>#NAME?</v>
      </c>
    </row>
    <row r="28">
      <c r="A28" s="17">
        <f t="shared" si="455"/>
        <v>25</v>
      </c>
      <c r="B28" s="50">
        <v>-236.75</v>
      </c>
      <c r="D28" s="50">
        <f t="shared" si="456"/>
        <v>-38.960000000000001</v>
      </c>
      <c r="E28" s="46"/>
      <c r="Q28">
        <f t="shared" si="457"/>
        <v>23</v>
      </c>
      <c r="R28" t="e">
        <v>#NAME?</v>
      </c>
    </row>
    <row r="29">
      <c r="Q29">
        <f t="shared" si="457"/>
        <v>24</v>
      </c>
      <c r="R29" t="e">
        <v>#NAME?</v>
      </c>
    </row>
    <row r="30">
      <c r="A30" s="15" t="s">
        <v>283</v>
      </c>
      <c r="B30" s="46">
        <f>AVERAGE(B4:B28)</f>
        <v>-13.6092</v>
      </c>
      <c r="Q30" s="14">
        <f t="shared" si="457"/>
        <v>25</v>
      </c>
      <c r="R30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9.5446430000000007"/>
    <col customWidth="1" min="13" max="13" width="9.8125"/>
    <col customWidth="1" min="15" max="15" width="3.1785709999999998"/>
    <col customWidth="1" min="16" max="16" width="9.7232140000000005"/>
    <col customWidth="1" min="18" max="18" width="3.1785709999999998"/>
    <col customWidth="1" min="19" max="19" width="9.7232140000000005"/>
  </cols>
  <sheetData>
    <row r="1">
      <c r="A1" s="1" t="s">
        <v>399</v>
      </c>
    </row>
    <row r="2">
      <c r="M2" t="s">
        <v>400</v>
      </c>
      <c r="P2" t="s">
        <v>401</v>
      </c>
      <c r="S2" t="s">
        <v>402</v>
      </c>
      <c r="V2" t="e">
        <v>#NAME?</v>
      </c>
    </row>
    <row r="3">
      <c r="A3">
        <v>2.1954112362229798</v>
      </c>
    </row>
    <row r="4">
      <c r="A4">
        <v>1.5564893013829599</v>
      </c>
      <c r="J4" t="e">
        <v>#NAME?</v>
      </c>
      <c r="K4" s="7" t="e">
        <v>#NAME?</v>
      </c>
      <c r="M4" t="e">
        <v>#NAME?</v>
      </c>
      <c r="N4" s="7" t="e">
        <v>#NAME?</v>
      </c>
      <c r="P4" t="e">
        <v>#NAME?</v>
      </c>
      <c r="Q4" s="7" t="e">
        <v>#NAME?</v>
      </c>
      <c r="S4" t="e">
        <v>#NAME?</v>
      </c>
      <c r="T4" s="7" t="e">
        <v>#NAME?</v>
      </c>
      <c r="V4" t="e">
        <v>#NAME?</v>
      </c>
      <c r="W4" s="7" t="e">
        <v>#NAME?</v>
      </c>
    </row>
    <row r="5">
      <c r="A5">
        <v>1.6166080445942643</v>
      </c>
      <c r="J5" t="e">
        <v>#NAME?</v>
      </c>
      <c r="K5" s="10" t="e">
        <v>#NAME?</v>
      </c>
      <c r="M5" t="e">
        <v>#NAME?</v>
      </c>
      <c r="N5" s="10" t="e">
        <v>#NAME?</v>
      </c>
      <c r="P5" t="e">
        <v>#NAME?</v>
      </c>
      <c r="Q5" s="10" t="e">
        <v>#NAME?</v>
      </c>
      <c r="S5" t="e">
        <v>#NAME?</v>
      </c>
      <c r="T5" s="10" t="e">
        <v>#NAME?</v>
      </c>
      <c r="V5" t="e">
        <v>#NAME?</v>
      </c>
      <c r="W5" s="10" t="e">
        <v>#NAME?</v>
      </c>
    </row>
    <row r="6">
      <c r="A6">
        <v>1.4354933242524079</v>
      </c>
      <c r="J6" t="e">
        <v>#NAME?</v>
      </c>
      <c r="K6" s="10" t="e">
        <v>#NAME?</v>
      </c>
      <c r="M6" t="e">
        <v>#NAME?</v>
      </c>
      <c r="N6" s="44" t="e">
        <v>#NAME?</v>
      </c>
      <c r="P6" t="e">
        <v>#NAME?</v>
      </c>
      <c r="Q6" s="44" t="e">
        <v>#NAME?</v>
      </c>
      <c r="S6" t="e">
        <v>#NAME?</v>
      </c>
      <c r="T6" s="44" t="e">
        <v>#NAME?</v>
      </c>
      <c r="V6" t="e">
        <v>#NAME?</v>
      </c>
      <c r="W6" s="44" t="e">
        <v>#NAME?</v>
      </c>
    </row>
    <row r="7">
      <c r="A7">
        <v>1.4723170493758599</v>
      </c>
      <c r="J7" t="e">
        <v>#NAME?</v>
      </c>
      <c r="K7" s="10" t="e">
        <v>#NAME?</v>
      </c>
      <c r="M7" t="e">
        <v>#NAME?</v>
      </c>
      <c r="N7" s="10" t="e">
        <v>#NAME?</v>
      </c>
      <c r="P7" t="e">
        <v>#NAME?</v>
      </c>
      <c r="Q7" s="10" t="e">
        <v>#NAME?</v>
      </c>
      <c r="S7" t="e">
        <v>#NAME?</v>
      </c>
      <c r="T7" s="10" t="e">
        <v>#NAME?</v>
      </c>
      <c r="V7" t="e">
        <v>#NAME?</v>
      </c>
      <c r="W7" s="10" t="e">
        <v>#NAME?</v>
      </c>
    </row>
    <row r="8">
      <c r="A8">
        <v>1.32457</v>
      </c>
      <c r="J8" t="e">
        <v>#NAME?</v>
      </c>
      <c r="K8" s="13" t="e">
        <v>#NAME?</v>
      </c>
      <c r="M8" t="e">
        <v>#NAME?</v>
      </c>
      <c r="N8" s="10" t="e">
        <v>#NAME?</v>
      </c>
      <c r="P8" t="e">
        <v>#NAME?</v>
      </c>
      <c r="Q8" s="10" t="e">
        <v>#NAME?</v>
      </c>
      <c r="S8" t="e">
        <v>#NAME?</v>
      </c>
      <c r="T8" s="10" t="e">
        <v>#NAME?</v>
      </c>
      <c r="V8" t="e">
        <v>#NAME?</v>
      </c>
      <c r="W8" s="10" t="e">
        <v>#NAME?</v>
      </c>
    </row>
    <row r="9">
      <c r="A9">
        <v>2.6101002642621447</v>
      </c>
      <c r="M9" t="e">
        <v>#NAME?</v>
      </c>
      <c r="N9" s="10" t="e">
        <v>#NAME?</v>
      </c>
      <c r="P9" t="e">
        <v>#NAME?</v>
      </c>
      <c r="Q9" s="10" t="e">
        <v>#NAME?</v>
      </c>
      <c r="S9" t="e">
        <v>#NAME?</v>
      </c>
      <c r="T9" s="10" t="e">
        <v>#NAME?</v>
      </c>
      <c r="V9" t="e">
        <v>#NAME?</v>
      </c>
      <c r="W9" s="10" t="e">
        <v>#NAME?</v>
      </c>
    </row>
    <row r="10">
      <c r="A10">
        <v>1.8739672709592894</v>
      </c>
      <c r="J10" t="s">
        <v>403</v>
      </c>
      <c r="K10" s="18" t="e">
        <f>ROUND(12*(K4/100)^0.25,0)</f>
        <v>#NAME?</v>
      </c>
      <c r="M10" t="e">
        <v>#NAME?</v>
      </c>
      <c r="N10" s="10" t="e">
        <v>#NAME?</v>
      </c>
      <c r="P10" t="e">
        <v>#NAME?</v>
      </c>
      <c r="Q10" s="10" t="e">
        <v>#NAME?</v>
      </c>
      <c r="S10" t="e">
        <v>#NAME?</v>
      </c>
      <c r="T10" s="10" t="e">
        <v>#NAME?</v>
      </c>
      <c r="V10" t="e">
        <v>#NAME?</v>
      </c>
      <c r="W10" s="10" t="e">
        <v>#NAME?</v>
      </c>
    </row>
    <row r="11">
      <c r="A11">
        <v>3.0006758522775838</v>
      </c>
      <c r="M11" t="e">
        <v>#NAME?</v>
      </c>
      <c r="N11" s="21" t="e">
        <v>#NAME?</v>
      </c>
      <c r="P11" t="e">
        <v>#NAME?</v>
      </c>
      <c r="Q11" s="21" t="e">
        <v>#NAME?</v>
      </c>
      <c r="S11" t="e">
        <v>#NAME?</v>
      </c>
      <c r="T11" s="13" t="e">
        <v>#NAME?</v>
      </c>
      <c r="V11" t="e">
        <v>#NAME?</v>
      </c>
      <c r="W11" s="21" t="e">
        <v>#NAME?</v>
      </c>
    </row>
    <row r="12">
      <c r="A12">
        <v>2.1606253513382501</v>
      </c>
    </row>
    <row r="13">
      <c r="A13">
        <v>2.1565013565451201</v>
      </c>
    </row>
    <row r="14">
      <c r="A14">
        <v>2.9629643841618374</v>
      </c>
    </row>
    <row r="15">
      <c r="A15">
        <v>2.1250709140930466</v>
      </c>
    </row>
    <row r="16">
      <c r="A16">
        <v>2.9897080234539199</v>
      </c>
    </row>
    <row r="17">
      <c r="A17">
        <v>3.2545925126709121</v>
      </c>
    </row>
    <row r="18">
      <c r="A18">
        <v>3.7153992070881996</v>
      </c>
    </row>
    <row r="19">
      <c r="A19">
        <v>2.9207517290019527</v>
      </c>
    </row>
    <row r="20">
      <c r="A20">
        <v>2.3942977519624984</v>
      </c>
    </row>
    <row r="21">
      <c r="A21">
        <v>2.224401046632972</v>
      </c>
    </row>
    <row r="22">
      <c r="A22">
        <v>3.5258176072017906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9.5446430000000007"/>
    <col customWidth="1" min="2" max="2" width="5.7232139999999996"/>
    <col customWidth="1" min="5" max="5" width="5.2678570000000002"/>
    <col customWidth="1" min="6" max="6" width="9.8125"/>
    <col customWidth="1" min="8" max="8" width="3.1785709999999998"/>
    <col customWidth="1" min="9" max="9" width="9.7232140000000005"/>
    <col customWidth="1" min="11" max="11" width="3.1785709999999998"/>
    <col customWidth="1" min="12" max="12" width="9.7232140000000005"/>
  </cols>
  <sheetData>
    <row r="1">
      <c r="A1" s="1" t="s">
        <v>404</v>
      </c>
      <c r="F1" t="s">
        <v>405</v>
      </c>
    </row>
    <row r="3">
      <c r="A3">
        <v>2.1954112362229798</v>
      </c>
      <c r="F3" t="s">
        <v>400</v>
      </c>
      <c r="I3" t="s">
        <v>401</v>
      </c>
      <c r="L3" t="s">
        <v>402</v>
      </c>
    </row>
    <row r="4">
      <c r="A4">
        <v>1.5564893013829599</v>
      </c>
      <c r="C4" t="e">
        <v>#NAME?</v>
      </c>
      <c r="D4" s="7" t="e">
        <v>#NAME?</v>
      </c>
    </row>
    <row r="5">
      <c r="A5">
        <v>1.6166080445942643</v>
      </c>
      <c r="C5" t="e">
        <v>#NAME?</v>
      </c>
      <c r="D5" s="10" t="e">
        <v>#NAME?</v>
      </c>
      <c r="F5" t="e">
        <v>#NAME?</v>
      </c>
      <c r="G5" s="7" t="e">
        <v>#NAME?</v>
      </c>
      <c r="I5" t="e">
        <v>#NAME?</v>
      </c>
      <c r="J5" s="7" t="e">
        <v>#NAME?</v>
      </c>
      <c r="L5" t="e">
        <v>#NAME?</v>
      </c>
      <c r="M5" s="7" t="e">
        <v>#NAME?</v>
      </c>
    </row>
    <row r="6">
      <c r="A6">
        <v>1.4354933242524079</v>
      </c>
      <c r="C6" t="e">
        <v>#NAME?</v>
      </c>
      <c r="D6" s="10" t="e">
        <v>#NAME?</v>
      </c>
      <c r="F6" t="e">
        <v>#NAME?</v>
      </c>
      <c r="G6" s="10" t="e">
        <v>#NAME?</v>
      </c>
      <c r="I6" t="e">
        <v>#NAME?</v>
      </c>
      <c r="J6" s="10" t="e">
        <v>#NAME?</v>
      </c>
      <c r="L6" t="e">
        <v>#NAME?</v>
      </c>
      <c r="M6" s="10" t="e">
        <v>#NAME?</v>
      </c>
    </row>
    <row r="7">
      <c r="A7">
        <v>1.4723170493758599</v>
      </c>
      <c r="C7" t="e">
        <v>#NAME?</v>
      </c>
      <c r="D7" s="10" t="e">
        <v>#NAME?</v>
      </c>
      <c r="F7" t="e">
        <v>#NAME?</v>
      </c>
      <c r="G7" s="44" t="e">
        <v>#NAME?</v>
      </c>
      <c r="I7" t="e">
        <v>#NAME?</v>
      </c>
      <c r="J7" s="44" t="e">
        <v>#NAME?</v>
      </c>
      <c r="L7" t="e">
        <v>#NAME?</v>
      </c>
      <c r="M7" s="44" t="e">
        <v>#NAME?</v>
      </c>
    </row>
    <row r="8">
      <c r="A8">
        <v>1.32457</v>
      </c>
      <c r="C8" t="e">
        <v>#NAME?</v>
      </c>
      <c r="D8" s="13" t="e">
        <v>#NAME?</v>
      </c>
      <c r="F8" t="e">
        <v>#NAME?</v>
      </c>
      <c r="G8" s="10" t="e">
        <v>#NAME?</v>
      </c>
      <c r="I8" t="e">
        <v>#NAME?</v>
      </c>
      <c r="J8" s="10" t="e">
        <v>#NAME?</v>
      </c>
      <c r="L8" t="e">
        <v>#NAME?</v>
      </c>
      <c r="M8" s="10" t="e">
        <v>#NAME?</v>
      </c>
    </row>
    <row r="9">
      <c r="A9">
        <v>2.6101002642621447</v>
      </c>
      <c r="F9" t="e">
        <v>#NAME?</v>
      </c>
      <c r="G9" s="10" t="e">
        <v>#NAME?</v>
      </c>
      <c r="I9" t="e">
        <v>#NAME?</v>
      </c>
      <c r="J9" s="10" t="e">
        <v>#NAME?</v>
      </c>
      <c r="L9" t="e">
        <v>#NAME?</v>
      </c>
      <c r="M9" s="10" t="e">
        <v>#NAME?</v>
      </c>
    </row>
    <row r="10">
      <c r="A10">
        <v>1.8739672709592894</v>
      </c>
      <c r="C10" t="s">
        <v>403</v>
      </c>
      <c r="D10" s="18" t="e">
        <f>ROUND(4*(D4/100)^0.25,0)</f>
        <v>#NAME?</v>
      </c>
      <c r="F10" t="e">
        <v>#NAME?</v>
      </c>
      <c r="G10" s="21" t="e">
        <v>#NAME?</v>
      </c>
      <c r="I10" t="e">
        <v>#NAME?</v>
      </c>
      <c r="J10" s="21" t="e">
        <v>#NAME?</v>
      </c>
      <c r="L10" t="e">
        <v>#NAME?</v>
      </c>
      <c r="M10" s="13" t="e">
        <v>#NAME?</v>
      </c>
    </row>
    <row r="11">
      <c r="A11">
        <v>3.0006758522775838</v>
      </c>
      <c r="C11" t="s">
        <v>406</v>
      </c>
    </row>
    <row r="12">
      <c r="A12">
        <v>2.1606253513382501</v>
      </c>
      <c r="G12" s="15"/>
    </row>
    <row r="13">
      <c r="A13">
        <v>2.1565013565451201</v>
      </c>
      <c r="F13" t="s">
        <v>407</v>
      </c>
    </row>
    <row r="14">
      <c r="A14">
        <v>2.9629643841618374</v>
      </c>
    </row>
    <row r="15">
      <c r="A15">
        <v>2.1250709140930466</v>
      </c>
      <c r="F15" t="s">
        <v>408</v>
      </c>
      <c r="I15" t="s">
        <v>402</v>
      </c>
    </row>
    <row r="16">
      <c r="A16">
        <v>2.9897080234539199</v>
      </c>
    </row>
    <row r="17">
      <c r="A17">
        <v>3.2545925126709121</v>
      </c>
      <c r="F17" t="e">
        <v>#NAME?</v>
      </c>
      <c r="G17" s="7" t="e">
        <v>#NAME?</v>
      </c>
      <c r="I17" t="e">
        <v>#NAME?</v>
      </c>
      <c r="J17" s="7" t="e">
        <v>#NAME?</v>
      </c>
    </row>
    <row r="18">
      <c r="A18">
        <v>3.7153992070881996</v>
      </c>
      <c r="F18" t="e">
        <v>#NAME?</v>
      </c>
      <c r="G18" s="10" t="e">
        <v>#NAME?</v>
      </c>
      <c r="I18" t="e">
        <v>#NAME?</v>
      </c>
      <c r="J18" s="44" t="e">
        <v>#NAME?</v>
      </c>
    </row>
    <row r="19">
      <c r="A19">
        <v>2.9207517290019527</v>
      </c>
      <c r="F19" t="e">
        <v>#NAME?</v>
      </c>
      <c r="G19" s="44" t="e">
        <v>#NAME?</v>
      </c>
      <c r="I19" t="e">
        <v>#NAME?</v>
      </c>
      <c r="J19" s="44" t="e">
        <v>#NAME?</v>
      </c>
    </row>
    <row r="20">
      <c r="A20">
        <v>2.3942977519624984</v>
      </c>
      <c r="F20" t="e">
        <v>#NAME?</v>
      </c>
      <c r="G20" s="10" t="e">
        <v>#NAME?</v>
      </c>
      <c r="I20" t="e">
        <v>#NAME?</v>
      </c>
      <c r="J20" s="10" t="e">
        <v>#NAME?</v>
      </c>
    </row>
    <row r="21">
      <c r="A21">
        <v>2.224401046632972</v>
      </c>
      <c r="F21" t="e">
        <v>#NAME?</v>
      </c>
      <c r="G21" s="13" t="e">
        <v>#NAME?</v>
      </c>
      <c r="I21" t="e">
        <v>#NAME?</v>
      </c>
      <c r="J21" s="21" t="e">
        <v>#NAME?</v>
      </c>
    </row>
    <row r="22">
      <c r="A22">
        <v>3.5258176072017906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7.5446429999999998"/>
    <col customWidth="1" min="3" max="3" width="4.5446429999999998"/>
    <col customWidth="1" min="4" max="5" width="7.5446429999999998"/>
    <col customWidth="1" min="6" max="6" width="4.2678570000000002"/>
    <col customWidth="1" min="15" max="16" width="5.8125"/>
    <col customWidth="1" min="17" max="17" width="3.1785709999999998"/>
    <col customWidth="1" min="18" max="18" width="6.4553570000000002"/>
    <col customWidth="1" min="29" max="30" width="7.5446429999999998"/>
    <col customWidth="1" min="36" max="36" width="7.5446429999999998"/>
    <col customWidth="1" min="41" max="41" width="7.5446429999999998"/>
  </cols>
  <sheetData>
    <row r="1">
      <c r="A1" s="1" t="s">
        <v>409</v>
      </c>
      <c r="O1" t="s">
        <v>410</v>
      </c>
      <c r="AC1" t="s">
        <v>411</v>
      </c>
      <c r="AJ1" t="s">
        <v>26</v>
      </c>
      <c r="AO1" t="s">
        <v>412</v>
      </c>
    </row>
    <row r="3">
      <c r="A3" s="4" t="s">
        <v>206</v>
      </c>
      <c r="B3" s="4" t="s">
        <v>207</v>
      </c>
      <c r="D3" s="4" t="s">
        <v>206</v>
      </c>
      <c r="E3" s="4" t="s">
        <v>207</v>
      </c>
      <c r="G3" s="4" t="s">
        <v>413</v>
      </c>
      <c r="H3" s="4" t="s">
        <v>414</v>
      </c>
      <c r="I3" s="4" t="s">
        <v>415</v>
      </c>
      <c r="J3" s="4" t="s">
        <v>416</v>
      </c>
      <c r="K3" s="4" t="s">
        <v>417</v>
      </c>
      <c r="L3" s="4" t="s">
        <v>418</v>
      </c>
      <c r="M3" s="4" t="s">
        <v>419</v>
      </c>
      <c r="O3" s="4" t="e">
        <v>#NAME?</v>
      </c>
      <c r="P3" s="4" t="e">
        <v>#NAME?</v>
      </c>
      <c r="R3" s="4" t="s">
        <v>206</v>
      </c>
      <c r="S3" s="4" t="s">
        <v>207</v>
      </c>
      <c r="AC3" s="4" t="s">
        <v>206</v>
      </c>
      <c r="AD3" s="4" t="s">
        <v>207</v>
      </c>
      <c r="AE3" s="4" t="s">
        <v>413</v>
      </c>
      <c r="AF3" s="4" t="s">
        <v>417</v>
      </c>
      <c r="AG3" s="4" t="s">
        <v>418</v>
      </c>
      <c r="AH3" s="4" t="s">
        <v>419</v>
      </c>
      <c r="AJ3" s="4" t="s">
        <v>206</v>
      </c>
      <c r="AK3" s="4" t="s">
        <v>420</v>
      </c>
      <c r="AL3" s="4" t="s">
        <v>413</v>
      </c>
      <c r="AM3" s="4" t="s">
        <v>421</v>
      </c>
      <c r="AO3" s="4" t="s">
        <v>206</v>
      </c>
      <c r="AP3" s="4" t="s">
        <v>420</v>
      </c>
      <c r="AQ3" s="4" t="s">
        <v>413</v>
      </c>
      <c r="AR3" s="4" t="s">
        <v>421</v>
      </c>
    </row>
    <row r="4">
      <c r="A4" s="15">
        <v>1</v>
      </c>
      <c r="B4" s="15">
        <v>3</v>
      </c>
      <c r="D4" s="15">
        <v>1</v>
      </c>
      <c r="E4" s="15">
        <v>3</v>
      </c>
      <c r="G4" s="15" t="e">
        <v>#NAME?</v>
      </c>
      <c r="H4" s="15" t="e">
        <v>#NAME?</v>
      </c>
      <c r="I4" s="15" t="e">
        <v>#NAME?</v>
      </c>
      <c r="J4" s="15" t="e">
        <v>#NAME?</v>
      </c>
      <c r="K4" s="15" t="e">
        <v>#NAME?</v>
      </c>
      <c r="L4" s="15" t="e">
        <v>#NAME?</v>
      </c>
      <c r="M4" s="15" t="e">
        <v>#NAME?</v>
      </c>
      <c r="O4" s="15" t="e">
        <v>#NAME?</v>
      </c>
      <c r="P4" s="15" t="e">
        <v>#NAME?</v>
      </c>
      <c r="R4" s="15">
        <v>1</v>
      </c>
      <c r="S4" s="15" t="e">
        <v>#NAME?</v>
      </c>
      <c r="AC4" s="15">
        <f t="shared" ref="AC4:AC9" si="463">D4</f>
        <v>1</v>
      </c>
      <c r="AD4" s="15">
        <f t="shared" ref="AD4:AD9" si="464">IF(E4="","",E4)</f>
        <v>3</v>
      </c>
      <c r="AE4" s="15" t="e">
        <f t="shared" ref="AE4:AE9" si="465">G4</f>
        <v>#NAME?</v>
      </c>
      <c r="AF4" s="15">
        <f t="shared" ref="AF4:AF6" si="466">IF(AD4="",AE4,AD4)</f>
        <v>3</v>
      </c>
      <c r="AG4">
        <f t="shared" ref="AG4:AG6" si="467">IF(AD4="",AE4,AD4)</f>
        <v>3</v>
      </c>
      <c r="AH4">
        <f t="shared" ref="AH4:AH6" si="468">IF(AD4="",AE4,AD4)</f>
        <v>3</v>
      </c>
      <c r="AJ4" s="15">
        <f t="shared" ref="AJ4:AJ7" si="469">AC6</f>
        <v>3</v>
      </c>
      <c r="AK4">
        <f t="shared" ref="AK4:AK9" si="470">1/(ABS(AJ$7-AJ4)+1)</f>
        <v>0.25</v>
      </c>
      <c r="AL4" t="e">
        <f t="shared" ref="AL4:AL7" si="471">AE6</f>
        <v>#NAME?</v>
      </c>
      <c r="AM4" t="e">
        <f t="shared" ref="AM4:AM9" si="472">AK4*AL4</f>
        <v>#NAME?</v>
      </c>
      <c r="AO4" s="15">
        <f t="shared" ref="AO4:AO7" si="473">AC6</f>
        <v>3</v>
      </c>
      <c r="AP4">
        <f t="shared" ref="AP4:AP9" si="474">1/2^ABS(AJ$7-AJ4)</f>
        <v>0.125</v>
      </c>
      <c r="AQ4" t="e">
        <f t="shared" ref="AQ4:AQ7" si="475">AE6</f>
        <v>#NAME?</v>
      </c>
      <c r="AR4" t="e">
        <f t="shared" ref="AR4:AR9" si="476">AP4*AQ4</f>
        <v>#NAME?</v>
      </c>
    </row>
    <row r="5">
      <c r="A5" s="15">
        <f t="shared" ref="A5:A10" si="477">A4+1</f>
        <v>2</v>
      </c>
      <c r="B5" s="15">
        <v>5</v>
      </c>
      <c r="D5" s="15">
        <f t="shared" ref="D5:D10" si="478">D4+1</f>
        <v>2</v>
      </c>
      <c r="E5" s="15">
        <v>5</v>
      </c>
      <c r="G5" s="15" t="e">
        <v>#NAME?</v>
      </c>
      <c r="H5" s="15" t="e">
        <v>#NAME?</v>
      </c>
      <c r="I5" s="15" t="e">
        <v>#NAME?</v>
      </c>
      <c r="J5" s="15" t="e">
        <v>#NAME?</v>
      </c>
      <c r="K5" s="15" t="e">
        <v>#NAME?</v>
      </c>
      <c r="L5" s="15" t="e">
        <v>#NAME?</v>
      </c>
      <c r="M5" s="15" t="e">
        <v>#NAME?</v>
      </c>
      <c r="O5" s="15" t="e">
        <v>#NAME?</v>
      </c>
      <c r="P5" s="15" t="e">
        <v>#NAME?</v>
      </c>
      <c r="R5" s="15">
        <f t="shared" ref="R5:R10" si="479">R4+1</f>
        <v>2</v>
      </c>
      <c r="S5" s="15" t="e">
        <v>#NAME?</v>
      </c>
      <c r="AC5" s="15">
        <f t="shared" si="463"/>
        <v>2</v>
      </c>
      <c r="AD5" s="15">
        <f t="shared" si="464"/>
        <v>5</v>
      </c>
      <c r="AE5" s="15" t="e">
        <f t="shared" si="465"/>
        <v>#NAME?</v>
      </c>
      <c r="AF5" s="15">
        <f t="shared" si="466"/>
        <v>5</v>
      </c>
      <c r="AG5">
        <f t="shared" si="467"/>
        <v>5</v>
      </c>
      <c r="AH5">
        <f t="shared" si="468"/>
        <v>5</v>
      </c>
      <c r="AJ5" s="15">
        <f t="shared" si="469"/>
        <v>4</v>
      </c>
      <c r="AK5">
        <f t="shared" si="470"/>
        <v>0.33333333333333298</v>
      </c>
      <c r="AL5" t="e">
        <f t="shared" si="471"/>
        <v>#NAME?</v>
      </c>
      <c r="AM5" t="e">
        <f t="shared" si="472"/>
        <v>#NAME?</v>
      </c>
      <c r="AO5" s="15">
        <f t="shared" si="473"/>
        <v>4</v>
      </c>
      <c r="AP5">
        <f t="shared" si="474"/>
        <v>0.25</v>
      </c>
      <c r="AQ5" t="e">
        <f t="shared" si="475"/>
        <v>#NAME?</v>
      </c>
      <c r="AR5" t="e">
        <f t="shared" si="476"/>
        <v>#NAME?</v>
      </c>
    </row>
    <row r="6">
      <c r="A6" s="15">
        <f t="shared" si="477"/>
        <v>3</v>
      </c>
      <c r="B6" s="15">
        <v>9</v>
      </c>
      <c r="D6" s="15">
        <f t="shared" si="478"/>
        <v>3</v>
      </c>
      <c r="E6" s="15">
        <v>9</v>
      </c>
      <c r="G6" s="15" t="e">
        <v>#NAME?</v>
      </c>
      <c r="H6" s="15" t="e">
        <v>#NAME?</v>
      </c>
      <c r="I6" s="15" t="e">
        <v>#NAME?</v>
      </c>
      <c r="J6" s="15" t="e">
        <v>#NAME?</v>
      </c>
      <c r="K6" s="15" t="e">
        <v>#NAME?</v>
      </c>
      <c r="L6" s="15" t="e">
        <v>#NAME?</v>
      </c>
      <c r="M6" s="15" t="e">
        <v>#NAME?</v>
      </c>
      <c r="O6" s="15" t="e">
        <v>#NAME?</v>
      </c>
      <c r="P6" s="15" t="e">
        <v>#NAME?</v>
      </c>
      <c r="R6" s="15">
        <f t="shared" si="479"/>
        <v>3</v>
      </c>
      <c r="S6" s="15" t="e">
        <v>#NAME?</v>
      </c>
      <c r="AC6" s="15">
        <f t="shared" si="463"/>
        <v>3</v>
      </c>
      <c r="AD6" s="15">
        <f t="shared" si="464"/>
        <v>9</v>
      </c>
      <c r="AE6" s="15" t="e">
        <f t="shared" si="465"/>
        <v>#NAME?</v>
      </c>
      <c r="AF6" s="15">
        <f t="shared" si="466"/>
        <v>9</v>
      </c>
      <c r="AG6">
        <f t="shared" si="467"/>
        <v>9</v>
      </c>
      <c r="AH6">
        <f t="shared" si="468"/>
        <v>9</v>
      </c>
      <c r="AJ6" s="15">
        <f t="shared" si="469"/>
        <v>5</v>
      </c>
      <c r="AK6">
        <f t="shared" si="470"/>
        <v>0.5</v>
      </c>
      <c r="AL6" t="e">
        <f t="shared" si="471"/>
        <v>#NAME?</v>
      </c>
      <c r="AM6" t="e">
        <f t="shared" si="472"/>
        <v>#NAME?</v>
      </c>
      <c r="AO6" s="15">
        <f t="shared" si="473"/>
        <v>5</v>
      </c>
      <c r="AP6">
        <f t="shared" si="474"/>
        <v>0.5</v>
      </c>
      <c r="AQ6" t="e">
        <f t="shared" si="475"/>
        <v>#NAME?</v>
      </c>
      <c r="AR6" t="e">
        <f t="shared" si="476"/>
        <v>#NAME?</v>
      </c>
    </row>
    <row r="7">
      <c r="A7" s="15">
        <f t="shared" si="477"/>
        <v>4</v>
      </c>
      <c r="B7" s="15">
        <v>20</v>
      </c>
      <c r="D7" s="15">
        <f t="shared" si="478"/>
        <v>4</v>
      </c>
      <c r="E7" s="15">
        <v>20</v>
      </c>
      <c r="G7" s="15" t="e">
        <v>#NAME?</v>
      </c>
      <c r="H7" s="15" t="e">
        <v>#NAME?</v>
      </c>
      <c r="I7" s="15" t="e">
        <v>#NAME?</v>
      </c>
      <c r="J7" s="15" t="e">
        <v>#NAME?</v>
      </c>
      <c r="K7" s="15" t="e">
        <v>#NAME?</v>
      </c>
      <c r="L7" s="15" t="e">
        <v>#NAME?</v>
      </c>
      <c r="M7" s="15" t="e">
        <v>#NAME?</v>
      </c>
      <c r="O7" s="15" t="e">
        <v>#NAME?</v>
      </c>
      <c r="P7" s="15" t="e">
        <v>#NAME?</v>
      </c>
      <c r="R7" s="15">
        <f t="shared" si="479"/>
        <v>4</v>
      </c>
      <c r="S7" s="15" t="e">
        <v>#NAME?</v>
      </c>
      <c r="AC7" s="15">
        <f t="shared" si="463"/>
        <v>4</v>
      </c>
      <c r="AD7" s="15">
        <f t="shared" si="464"/>
        <v>20</v>
      </c>
      <c r="AE7" s="15" t="e">
        <f t="shared" si="465"/>
        <v>#NAME?</v>
      </c>
      <c r="AF7" s="15">
        <f t="shared" ref="AF7:AF9" si="480">IF(AD7="",AVERAGE(AE4:AE10),AD7)</f>
        <v>20</v>
      </c>
      <c r="AG7">
        <f t="shared" ref="AG7:AG9" si="481">IF(AD7="",SUMPRODUCT(AE4:AE10,1/(ABS(AC4:AC10-AC7)+1))/AG$20,AD7)</f>
        <v>20</v>
      </c>
      <c r="AH7">
        <f t="shared" ref="AH7:AH9" si="482">IF(AD7="",SUMPRODUCT(AE4:AE10,1/2^ABS(AC4:AC10-AC7))/AH$20,AD7)</f>
        <v>20</v>
      </c>
      <c r="AJ7" s="15">
        <f t="shared" si="469"/>
        <v>6</v>
      </c>
      <c r="AK7">
        <f t="shared" si="470"/>
        <v>1</v>
      </c>
      <c r="AL7" t="e">
        <f t="shared" si="471"/>
        <v>#NAME?</v>
      </c>
      <c r="AM7" t="e">
        <f t="shared" si="472"/>
        <v>#NAME?</v>
      </c>
      <c r="AO7" s="15">
        <f t="shared" si="473"/>
        <v>6</v>
      </c>
      <c r="AP7">
        <f t="shared" si="474"/>
        <v>1</v>
      </c>
      <c r="AQ7" t="e">
        <f t="shared" si="475"/>
        <v>#NAME?</v>
      </c>
      <c r="AR7" t="e">
        <f t="shared" si="476"/>
        <v>#NAME?</v>
      </c>
    </row>
    <row r="8">
      <c r="A8" s="15">
        <f t="shared" si="477"/>
        <v>5</v>
      </c>
      <c r="B8" s="15">
        <v>12</v>
      </c>
      <c r="D8" s="15">
        <f t="shared" si="478"/>
        <v>5</v>
      </c>
      <c r="E8" s="15">
        <v>12</v>
      </c>
      <c r="G8" s="15" t="e">
        <v>#NAME?</v>
      </c>
      <c r="H8" s="15" t="e">
        <v>#NAME?</v>
      </c>
      <c r="I8" s="15" t="e">
        <v>#NAME?</v>
      </c>
      <c r="J8" s="15" t="e">
        <v>#NAME?</v>
      </c>
      <c r="K8" s="15" t="e">
        <v>#NAME?</v>
      </c>
      <c r="L8" s="15" t="e">
        <v>#NAME?</v>
      </c>
      <c r="M8" s="15" t="e">
        <v>#NAME?</v>
      </c>
      <c r="O8" s="15" t="e">
        <v>#NAME?</v>
      </c>
      <c r="P8" s="15" t="e">
        <v>#NAME?</v>
      </c>
      <c r="R8" s="15">
        <f t="shared" si="479"/>
        <v>5</v>
      </c>
      <c r="S8" s="15" t="e">
        <v>#NAME?</v>
      </c>
      <c r="AC8" s="15">
        <f t="shared" si="463"/>
        <v>5</v>
      </c>
      <c r="AD8" s="15">
        <f t="shared" si="464"/>
        <v>12</v>
      </c>
      <c r="AE8" s="15" t="e">
        <f t="shared" si="465"/>
        <v>#NAME?</v>
      </c>
      <c r="AF8" s="15">
        <f t="shared" si="480"/>
        <v>12</v>
      </c>
      <c r="AG8">
        <f t="shared" si="481"/>
        <v>12</v>
      </c>
      <c r="AH8">
        <f t="shared" si="482"/>
        <v>12</v>
      </c>
      <c r="AJ8" s="15">
        <f t="shared" ref="AJ8:AJ10" si="483">AC10</f>
        <v>7</v>
      </c>
      <c r="AK8">
        <f t="shared" si="470"/>
        <v>0.5</v>
      </c>
      <c r="AL8" t="e">
        <f t="shared" ref="AL8:AL10" si="484">AE10</f>
        <v>#NAME?</v>
      </c>
      <c r="AM8" t="e">
        <f t="shared" si="472"/>
        <v>#NAME?</v>
      </c>
      <c r="AO8" s="15">
        <f t="shared" ref="AO8:AO10" si="485">AC10</f>
        <v>7</v>
      </c>
      <c r="AP8">
        <f t="shared" si="474"/>
        <v>0.5</v>
      </c>
      <c r="AQ8" t="e">
        <f t="shared" ref="AQ8:AQ10" si="486">AE10</f>
        <v>#NAME?</v>
      </c>
      <c r="AR8" t="e">
        <f t="shared" si="476"/>
        <v>#NAME?</v>
      </c>
    </row>
    <row r="9">
      <c r="A9" s="15">
        <f t="shared" si="477"/>
        <v>6</v>
      </c>
      <c r="B9" s="15">
        <v>17</v>
      </c>
      <c r="D9" s="15">
        <f t="shared" si="478"/>
        <v>6</v>
      </c>
      <c r="E9" s="15"/>
      <c r="G9" s="15" t="e">
        <v>#NAME?</v>
      </c>
      <c r="H9" s="15" t="e">
        <v>#NAME?</v>
      </c>
      <c r="I9" s="15" t="e">
        <v>#NAME?</v>
      </c>
      <c r="J9" s="15" t="e">
        <v>#NAME?</v>
      </c>
      <c r="K9" s="15" t="e">
        <v>#NAME?</v>
      </c>
      <c r="L9" s="15" t="e">
        <v>#NAME?</v>
      </c>
      <c r="M9" s="15" t="e">
        <v>#NAME?</v>
      </c>
      <c r="O9" s="15" t="e">
        <v>#NAME?</v>
      </c>
      <c r="P9" s="15" t="e">
        <v>#NAME?</v>
      </c>
      <c r="R9" s="15">
        <f t="shared" si="479"/>
        <v>6</v>
      </c>
      <c r="S9" s="15" t="e">
        <v>#NAME?</v>
      </c>
      <c r="AC9" s="15">
        <f t="shared" si="463"/>
        <v>6</v>
      </c>
      <c r="AD9" s="15" t="str">
        <f t="shared" si="464"/>
        <v/>
      </c>
      <c r="AE9" s="15" t="e">
        <f t="shared" si="465"/>
        <v>#NAME?</v>
      </c>
      <c r="AF9" s="15" t="e">
        <f t="shared" si="480"/>
        <v>#NAME?</v>
      </c>
      <c r="AG9" t="e">
        <f t="shared" si="481"/>
        <v>#NAME?</v>
      </c>
      <c r="AH9" t="e">
        <f t="shared" si="482"/>
        <v>#NAME?</v>
      </c>
      <c r="AJ9" s="15">
        <f t="shared" si="483"/>
        <v>8</v>
      </c>
      <c r="AK9">
        <f t="shared" si="470"/>
        <v>0.33333333333333298</v>
      </c>
      <c r="AL9" t="e">
        <f t="shared" si="484"/>
        <v>#NAME?</v>
      </c>
      <c r="AM9" t="e">
        <f t="shared" si="472"/>
        <v>#NAME?</v>
      </c>
      <c r="AO9" s="15">
        <f t="shared" si="485"/>
        <v>8</v>
      </c>
      <c r="AP9">
        <f t="shared" si="474"/>
        <v>0.25</v>
      </c>
      <c r="AQ9" t="e">
        <f t="shared" si="486"/>
        <v>#NAME?</v>
      </c>
      <c r="AR9" t="e">
        <f t="shared" si="476"/>
        <v>#NAME?</v>
      </c>
    </row>
    <row r="10">
      <c r="A10" s="15">
        <f t="shared" si="477"/>
        <v>7</v>
      </c>
      <c r="B10" s="15">
        <v>22</v>
      </c>
      <c r="D10" s="15">
        <f t="shared" si="478"/>
        <v>7</v>
      </c>
      <c r="E10" s="15"/>
      <c r="G10" s="15" t="e">
        <v>#NAME?</v>
      </c>
      <c r="H10" s="15" t="e">
        <v>#NAME?</v>
      </c>
      <c r="I10" s="15" t="e">
        <v>#NAME?</v>
      </c>
      <c r="J10" s="15" t="e">
        <v>#NAME?</v>
      </c>
      <c r="K10" s="15" t="e">
        <v>#NAME?</v>
      </c>
      <c r="L10" s="15" t="e">
        <v>#NAME?</v>
      </c>
      <c r="M10" s="15" t="e">
        <v>#NAME?</v>
      </c>
      <c r="O10" s="15" t="e">
        <v>#NAME?</v>
      </c>
      <c r="P10" s="15" t="e">
        <v>#NAME?</v>
      </c>
      <c r="R10" s="15">
        <f t="shared" si="479"/>
        <v>7</v>
      </c>
      <c r="S10" s="15" t="e">
        <v>#NAME?</v>
      </c>
      <c r="AC10" s="15">
        <f t="shared" ref="AC10:AC18" si="487">D10</f>
        <v>7</v>
      </c>
      <c r="AD10" s="15" t="str">
        <f t="shared" ref="AD10:AD18" si="488">IF(E10="","",E10)</f>
        <v/>
      </c>
      <c r="AE10" s="15" t="e">
        <f t="shared" ref="AE10:AE18" si="489">G10</f>
        <v>#NAME?</v>
      </c>
      <c r="AF10" s="15" t="e">
        <f t="shared" ref="AF10:AF12" si="490">IF(AD10="",AVERAGE(AE7:AE13),AD10)</f>
        <v>#NAME?</v>
      </c>
      <c r="AG10" t="e">
        <f t="shared" ref="AG10:AG12" si="491">IF(AD10="",SUMPRODUCT(AE7:AE13,1/(ABS(AC7:AC13-AC10)+1))/AG$20,AD10)</f>
        <v>#NAME?</v>
      </c>
      <c r="AH10" t="e">
        <f t="shared" ref="AH10:AH12" si="492">IF(AD10="",SUMPRODUCT(AE7:AE13,1/2^ABS(AC7:AC13-AC10))/AH$20,AD10)</f>
        <v>#NAME?</v>
      </c>
      <c r="AJ10" s="17">
        <f t="shared" si="483"/>
        <v>9</v>
      </c>
      <c r="AK10" s="14">
        <f>1/(ABS(AJ$7-AJ10)+1)</f>
        <v>0.25</v>
      </c>
      <c r="AL10" s="14" t="e">
        <f t="shared" si="484"/>
        <v>#NAME?</v>
      </c>
      <c r="AM10" s="14" t="e">
        <f>AK10*AL10</f>
        <v>#NAME?</v>
      </c>
      <c r="AO10" s="17">
        <f t="shared" si="485"/>
        <v>9</v>
      </c>
      <c r="AP10" s="14">
        <f>1/2^ABS(AJ$7-AJ10)</f>
        <v>0.125</v>
      </c>
      <c r="AQ10" s="14" t="e">
        <f t="shared" si="486"/>
        <v>#NAME?</v>
      </c>
      <c r="AR10" s="14" t="e">
        <f>AP10*AQ10</f>
        <v>#NAME?</v>
      </c>
    </row>
    <row r="11">
      <c r="A11" s="15">
        <f t="shared" ref="A11:A18" si="493">A10+1</f>
        <v>8</v>
      </c>
      <c r="B11" s="15">
        <v>23</v>
      </c>
      <c r="D11" s="15">
        <f t="shared" ref="D11:D18" si="494">D10+1</f>
        <v>8</v>
      </c>
      <c r="E11" s="15">
        <v>23</v>
      </c>
      <c r="G11" s="15" t="e">
        <v>#NAME?</v>
      </c>
      <c r="H11" s="15" t="e">
        <v>#NAME?</v>
      </c>
      <c r="I11" s="15" t="e">
        <v>#NAME?</v>
      </c>
      <c r="J11" s="15" t="e">
        <v>#NAME?</v>
      </c>
      <c r="K11" s="15" t="e">
        <v>#NAME?</v>
      </c>
      <c r="L11" s="15" t="e">
        <v>#NAME?</v>
      </c>
      <c r="M11" s="15" t="e">
        <v>#NAME?</v>
      </c>
      <c r="O11" s="15" t="e">
        <v>#NAME?</v>
      </c>
      <c r="P11" s="15" t="e">
        <v>#NAME?</v>
      </c>
      <c r="R11" s="15">
        <f t="shared" ref="R11:R18" si="495">R10+1</f>
        <v>8</v>
      </c>
      <c r="S11" s="15" t="e">
        <v>#NAME?</v>
      </c>
      <c r="AC11" s="15">
        <f t="shared" si="487"/>
        <v>8</v>
      </c>
      <c r="AD11" s="15">
        <f t="shared" si="488"/>
        <v>23</v>
      </c>
      <c r="AE11" s="15" t="e">
        <f t="shared" si="489"/>
        <v>#NAME?</v>
      </c>
      <c r="AF11" s="15">
        <f t="shared" si="490"/>
        <v>23</v>
      </c>
      <c r="AG11">
        <f t="shared" si="491"/>
        <v>23</v>
      </c>
      <c r="AH11">
        <f t="shared" si="492"/>
        <v>23</v>
      </c>
      <c r="AK11">
        <f>SUM(AK4:AK10)</f>
        <v>3.1666666666666701</v>
      </c>
      <c r="AM11" t="e">
        <f>SUM(AM4:AM10)</f>
        <v>#NAME?</v>
      </c>
      <c r="AP11">
        <f>SUM(AP4:AP10)</f>
        <v>2.75</v>
      </c>
      <c r="AR11" t="e">
        <f>SUM(AR4:AR10)</f>
        <v>#NAME?</v>
      </c>
    </row>
    <row r="12">
      <c r="A12" s="15">
        <f t="shared" si="493"/>
        <v>9</v>
      </c>
      <c r="B12" s="15">
        <v>51</v>
      </c>
      <c r="D12" s="15">
        <f t="shared" si="494"/>
        <v>9</v>
      </c>
      <c r="E12" s="15">
        <v>51</v>
      </c>
      <c r="G12" s="15" t="e">
        <v>#NAME?</v>
      </c>
      <c r="H12" s="15" t="e">
        <v>#NAME?</v>
      </c>
      <c r="I12" s="15" t="e">
        <v>#NAME?</v>
      </c>
      <c r="J12" s="15" t="e">
        <v>#NAME?</v>
      </c>
      <c r="K12" s="15" t="e">
        <v>#NAME?</v>
      </c>
      <c r="L12" s="15" t="e">
        <v>#NAME?</v>
      </c>
      <c r="M12" s="15" t="e">
        <v>#NAME?</v>
      </c>
      <c r="O12" s="15" t="e">
        <v>#NAME?</v>
      </c>
      <c r="P12" s="15" t="e">
        <v>#NAME?</v>
      </c>
      <c r="R12" s="15">
        <f t="shared" si="495"/>
        <v>9</v>
      </c>
      <c r="S12" s="15" t="e">
        <v>#NAME?</v>
      </c>
      <c r="AC12" s="15">
        <f t="shared" si="487"/>
        <v>9</v>
      </c>
      <c r="AD12" s="15">
        <f t="shared" si="488"/>
        <v>51</v>
      </c>
      <c r="AE12" s="15" t="e">
        <f t="shared" si="489"/>
        <v>#NAME?</v>
      </c>
      <c r="AF12" s="15">
        <f t="shared" si="490"/>
        <v>51</v>
      </c>
      <c r="AG12">
        <f t="shared" si="491"/>
        <v>51</v>
      </c>
      <c r="AH12">
        <f t="shared" si="492"/>
        <v>51</v>
      </c>
      <c r="AM12" s="14" t="e">
        <f>AM11/AK11</f>
        <v>#NAME?</v>
      </c>
      <c r="AR12" s="14" t="e">
        <f>AR11/AP11</f>
        <v>#NAME?</v>
      </c>
    </row>
    <row r="13">
      <c r="A13" s="15">
        <f t="shared" si="493"/>
        <v>10</v>
      </c>
      <c r="B13" s="15">
        <v>41</v>
      </c>
      <c r="D13" s="15">
        <f t="shared" si="494"/>
        <v>10</v>
      </c>
      <c r="E13" s="15">
        <v>41</v>
      </c>
      <c r="G13" s="15" t="e">
        <v>#NAME?</v>
      </c>
      <c r="H13" s="15" t="e">
        <v>#NAME?</v>
      </c>
      <c r="I13" s="15" t="e">
        <v>#NAME?</v>
      </c>
      <c r="J13" s="15" t="e">
        <v>#NAME?</v>
      </c>
      <c r="K13" s="15" t="e">
        <v>#NAME?</v>
      </c>
      <c r="L13" s="15" t="e">
        <v>#NAME?</v>
      </c>
      <c r="M13" s="15" t="e">
        <v>#NAME?</v>
      </c>
      <c r="O13" s="15" t="e">
        <v>#NAME?</v>
      </c>
      <c r="P13" s="15" t="e">
        <v>#NAME?</v>
      </c>
      <c r="R13" s="15">
        <f t="shared" si="495"/>
        <v>10</v>
      </c>
      <c r="S13" s="15" t="e">
        <v>#NAME?</v>
      </c>
      <c r="AC13" s="15">
        <f t="shared" si="487"/>
        <v>10</v>
      </c>
      <c r="AD13" s="15">
        <f t="shared" si="488"/>
        <v>41</v>
      </c>
      <c r="AE13" s="15" t="e">
        <f t="shared" si="489"/>
        <v>#NAME?</v>
      </c>
      <c r="AF13" s="15">
        <f t="shared" ref="AF13:AF15" si="496">IF(AD13="",AVERAGE(AE10:AE16),AD13)</f>
        <v>41</v>
      </c>
      <c r="AG13">
        <f t="shared" ref="AG13:AG15" si="497">IF(AD13="",SUMPRODUCT(AE10:AE16,1/(ABS(AC10:AC16-AC13)+1))/AG$20,AD13)</f>
        <v>41</v>
      </c>
      <c r="AH13">
        <f t="shared" ref="AH13:AH15" si="498">IF(AD13="",SUMPRODUCT(AE10:AE16,1/2^ABS(AC10:AC16-AC13))/AH$20,AD13)</f>
        <v>41</v>
      </c>
    </row>
    <row r="14">
      <c r="A14" s="15">
        <f t="shared" si="493"/>
        <v>11</v>
      </c>
      <c r="B14" s="15">
        <v>56</v>
      </c>
      <c r="D14" s="15">
        <f t="shared" si="494"/>
        <v>11</v>
      </c>
      <c r="E14" s="15">
        <v>56</v>
      </c>
      <c r="G14" s="15" t="e">
        <v>#NAME?</v>
      </c>
      <c r="H14" s="15" t="e">
        <v>#NAME?</v>
      </c>
      <c r="I14" s="15" t="e">
        <v>#NAME?</v>
      </c>
      <c r="J14" s="15" t="e">
        <v>#NAME?</v>
      </c>
      <c r="K14" s="15" t="e">
        <v>#NAME?</v>
      </c>
      <c r="L14" s="15" t="e">
        <v>#NAME?</v>
      </c>
      <c r="M14" s="15" t="e">
        <v>#NAME?</v>
      </c>
      <c r="O14" s="17" t="e">
        <v>#NAME?</v>
      </c>
      <c r="P14" s="17" t="e">
        <v>#NAME?</v>
      </c>
      <c r="R14" s="15">
        <f t="shared" si="495"/>
        <v>11</v>
      </c>
      <c r="S14" s="15" t="e">
        <v>#NAME?</v>
      </c>
      <c r="AC14" s="15">
        <f t="shared" si="487"/>
        <v>11</v>
      </c>
      <c r="AD14" s="15">
        <f t="shared" si="488"/>
        <v>56</v>
      </c>
      <c r="AE14" s="15" t="e">
        <f t="shared" si="489"/>
        <v>#NAME?</v>
      </c>
      <c r="AF14" s="15">
        <f t="shared" si="496"/>
        <v>56</v>
      </c>
      <c r="AG14">
        <f t="shared" si="497"/>
        <v>56</v>
      </c>
      <c r="AH14">
        <f t="shared" si="498"/>
        <v>56</v>
      </c>
    </row>
    <row r="15">
      <c r="A15" s="15">
        <f t="shared" si="493"/>
        <v>12</v>
      </c>
      <c r="B15" s="15">
        <v>75</v>
      </c>
      <c r="D15" s="15">
        <f t="shared" si="494"/>
        <v>12</v>
      </c>
      <c r="E15" s="15"/>
      <c r="G15" s="15" t="e">
        <v>#NAME?</v>
      </c>
      <c r="H15" s="15" t="e">
        <v>#NAME?</v>
      </c>
      <c r="I15" s="15" t="e">
        <v>#NAME?</v>
      </c>
      <c r="J15" s="15" t="e">
        <v>#NAME?</v>
      </c>
      <c r="K15" s="15" t="e">
        <v>#NAME?</v>
      </c>
      <c r="L15" s="15" t="e">
        <v>#NAME?</v>
      </c>
      <c r="M15" s="15" t="e">
        <v>#NAME?</v>
      </c>
      <c r="R15" s="15">
        <f t="shared" si="495"/>
        <v>12</v>
      </c>
      <c r="S15" s="15" t="e">
        <v>#NAME?</v>
      </c>
      <c r="AC15" s="15">
        <f t="shared" si="487"/>
        <v>12</v>
      </c>
      <c r="AD15" s="15" t="str">
        <f t="shared" si="488"/>
        <v/>
      </c>
      <c r="AE15" s="15" t="e">
        <f t="shared" si="489"/>
        <v>#NAME?</v>
      </c>
      <c r="AF15" s="15" t="e">
        <f t="shared" si="496"/>
        <v>#NAME?</v>
      </c>
      <c r="AG15" t="e">
        <f t="shared" si="497"/>
        <v>#NAME?</v>
      </c>
      <c r="AH15" t="e">
        <f t="shared" si="498"/>
        <v>#NAME?</v>
      </c>
    </row>
    <row r="16">
      <c r="A16" s="15">
        <f t="shared" si="493"/>
        <v>13</v>
      </c>
      <c r="B16" s="15">
        <v>60</v>
      </c>
      <c r="D16" s="15">
        <f t="shared" si="494"/>
        <v>13</v>
      </c>
      <c r="E16" s="15">
        <v>60</v>
      </c>
      <c r="G16" s="15" t="e">
        <v>#NAME?</v>
      </c>
      <c r="H16" s="15" t="e">
        <v>#NAME?</v>
      </c>
      <c r="I16" s="15" t="e">
        <v>#NAME?</v>
      </c>
      <c r="J16" s="15" t="e">
        <v>#NAME?</v>
      </c>
      <c r="K16" s="15" t="e">
        <v>#NAME?</v>
      </c>
      <c r="L16" s="15" t="e">
        <v>#NAME?</v>
      </c>
      <c r="M16" s="15" t="e">
        <v>#NAME?</v>
      </c>
      <c r="R16" s="15">
        <f t="shared" si="495"/>
        <v>13</v>
      </c>
      <c r="S16" s="15" t="e">
        <v>#NAME?</v>
      </c>
      <c r="AC16" s="15">
        <f t="shared" si="487"/>
        <v>13</v>
      </c>
      <c r="AD16" s="15">
        <f t="shared" si="488"/>
        <v>60</v>
      </c>
      <c r="AE16" s="15" t="e">
        <f t="shared" si="489"/>
        <v>#NAME?</v>
      </c>
      <c r="AF16" s="15">
        <f t="shared" ref="AF16:AF18" si="499">IF(AD16="",AE16,AD16)</f>
        <v>60</v>
      </c>
      <c r="AG16">
        <f t="shared" ref="AG16:AG18" si="500">IF(AD16="",AE16,AD16)</f>
        <v>60</v>
      </c>
      <c r="AH16">
        <f t="shared" ref="AH16:AH18" si="501">IF(AD16="",AE16,AD16)</f>
        <v>60</v>
      </c>
    </row>
    <row r="17">
      <c r="A17" s="15">
        <f t="shared" si="493"/>
        <v>14</v>
      </c>
      <c r="B17" s="15">
        <v>75</v>
      </c>
      <c r="D17" s="15">
        <f t="shared" si="494"/>
        <v>14</v>
      </c>
      <c r="E17" s="15">
        <v>75</v>
      </c>
      <c r="G17" s="15" t="e">
        <v>#NAME?</v>
      </c>
      <c r="H17" s="15" t="e">
        <v>#NAME?</v>
      </c>
      <c r="I17" s="15" t="e">
        <v>#NAME?</v>
      </c>
      <c r="J17" s="15" t="e">
        <v>#NAME?</v>
      </c>
      <c r="K17" s="15" t="e">
        <v>#NAME?</v>
      </c>
      <c r="L17" s="15" t="e">
        <v>#NAME?</v>
      </c>
      <c r="M17" s="15" t="e">
        <v>#NAME?</v>
      </c>
      <c r="R17" s="15">
        <f t="shared" si="495"/>
        <v>14</v>
      </c>
      <c r="S17" s="15" t="e">
        <v>#NAME?</v>
      </c>
      <c r="AC17" s="15">
        <f t="shared" si="487"/>
        <v>14</v>
      </c>
      <c r="AD17" s="15">
        <f t="shared" si="488"/>
        <v>75</v>
      </c>
      <c r="AE17" s="15" t="e">
        <f t="shared" si="489"/>
        <v>#NAME?</v>
      </c>
      <c r="AF17" s="15">
        <f t="shared" si="499"/>
        <v>75</v>
      </c>
      <c r="AG17">
        <f t="shared" si="500"/>
        <v>75</v>
      </c>
      <c r="AH17">
        <f t="shared" si="501"/>
        <v>75</v>
      </c>
    </row>
    <row r="18">
      <c r="A18" s="17">
        <f t="shared" si="493"/>
        <v>15</v>
      </c>
      <c r="B18" s="17">
        <v>88</v>
      </c>
      <c r="D18" s="17">
        <f t="shared" si="494"/>
        <v>15</v>
      </c>
      <c r="E18" s="17"/>
      <c r="G18" s="17" t="e">
        <v>#NAME?</v>
      </c>
      <c r="H18" s="17" t="e">
        <v>#NAME?</v>
      </c>
      <c r="I18" s="17" t="e">
        <v>#NAME?</v>
      </c>
      <c r="J18" s="17" t="e">
        <v>#NAME?</v>
      </c>
      <c r="K18" s="17" t="e">
        <v>#NAME?</v>
      </c>
      <c r="L18" s="17" t="e">
        <v>#NAME?</v>
      </c>
      <c r="M18" s="17" t="e">
        <v>#NAME?</v>
      </c>
      <c r="R18" s="17">
        <f t="shared" si="495"/>
        <v>15</v>
      </c>
      <c r="S18" s="17" t="e">
        <v>#NAME?</v>
      </c>
      <c r="AC18" s="17">
        <f t="shared" si="487"/>
        <v>15</v>
      </c>
      <c r="AD18" s="17" t="str">
        <f t="shared" si="488"/>
        <v/>
      </c>
      <c r="AE18" s="17" t="e">
        <f t="shared" si="489"/>
        <v>#NAME?</v>
      </c>
      <c r="AF18" s="17" t="e">
        <f t="shared" si="499"/>
        <v>#NAME?</v>
      </c>
      <c r="AG18" s="14" t="e">
        <f t="shared" si="500"/>
        <v>#NAME?</v>
      </c>
      <c r="AH18" s="14" t="e">
        <f t="shared" si="501"/>
        <v>#NAME?</v>
      </c>
    </row>
    <row r="20">
      <c r="AG20" s="26">
        <f>1+2*SUMPRODUCT(1/AC5:AC7)</f>
        <v>3.1666666666666599</v>
      </c>
      <c r="AH20" s="26">
        <f>1+2*SUMPRODUCT(1/2^AC4:AC6)</f>
        <v>2.75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1:1048576"/>
    </sheetView>
  </sheetViews>
  <sheetFormatPr defaultRowHeight="14.25"/>
  <cols>
    <col customWidth="1" min="1" max="1" width="6.7232139999999996"/>
    <col customWidth="1" min="2" max="2" width="5.8125"/>
  </cols>
  <sheetData>
    <row r="1">
      <c r="A1" s="1" t="s">
        <v>422</v>
      </c>
      <c r="I1" t="s">
        <v>423</v>
      </c>
      <c r="M1" t="s">
        <v>424</v>
      </c>
    </row>
    <row r="3">
      <c r="A3" s="4" t="s">
        <v>240</v>
      </c>
      <c r="B3" s="4" t="s">
        <v>206</v>
      </c>
      <c r="C3" s="4" t="s">
        <v>207</v>
      </c>
      <c r="E3" s="4" t="s">
        <v>240</v>
      </c>
      <c r="F3" s="4" t="s">
        <v>206</v>
      </c>
      <c r="G3" s="4" t="s">
        <v>207</v>
      </c>
      <c r="I3" s="51" t="s">
        <v>372</v>
      </c>
      <c r="J3" s="51" t="s">
        <v>425</v>
      </c>
      <c r="K3" s="51" t="s">
        <v>426</v>
      </c>
      <c r="M3" s="51" t="s">
        <v>372</v>
      </c>
      <c r="N3" s="51" t="s">
        <v>425</v>
      </c>
      <c r="O3" s="51" t="s">
        <v>426</v>
      </c>
    </row>
    <row r="4">
      <c r="A4" s="15" t="s">
        <v>242</v>
      </c>
      <c r="B4" s="15">
        <v>1</v>
      </c>
      <c r="C4" s="15">
        <v>10</v>
      </c>
      <c r="E4" s="15" t="s">
        <v>242</v>
      </c>
      <c r="F4" s="15">
        <v>1</v>
      </c>
      <c r="G4" s="15">
        <v>10</v>
      </c>
      <c r="I4" t="e">
        <v>#NAME?</v>
      </c>
      <c r="J4" t="e">
        <v>#NAME?</v>
      </c>
      <c r="K4" t="e">
        <v>#NAME?</v>
      </c>
      <c r="M4" t="e">
        <v>#NAME?</v>
      </c>
      <c r="N4" t="e">
        <v>#NAME?</v>
      </c>
      <c r="O4" t="e">
        <v>#NAME?</v>
      </c>
    </row>
    <row r="5">
      <c r="A5" s="15" t="s">
        <v>243</v>
      </c>
      <c r="B5" s="15">
        <f t="shared" ref="B5:B10" si="502">B4+1</f>
        <v>2</v>
      </c>
      <c r="C5" s="15">
        <v>14</v>
      </c>
      <c r="E5" s="15" t="s">
        <v>243</v>
      </c>
      <c r="F5" s="15">
        <f t="shared" ref="F5:F10" si="503">F4+1</f>
        <v>2</v>
      </c>
      <c r="G5" s="15"/>
      <c r="I5" t="e">
        <v>#NAME?</v>
      </c>
      <c r="J5" t="e">
        <v>#NAME?</v>
      </c>
      <c r="K5" t="e">
        <v>#NAME?</v>
      </c>
      <c r="M5" t="e">
        <v>#NAME?</v>
      </c>
      <c r="N5" t="e">
        <v>#NAME?</v>
      </c>
      <c r="O5" t="e">
        <v>#NAME?</v>
      </c>
    </row>
    <row r="6">
      <c r="A6" s="15" t="s">
        <v>244</v>
      </c>
      <c r="B6" s="15">
        <f t="shared" si="502"/>
        <v>3</v>
      </c>
      <c r="C6" s="15">
        <v>8</v>
      </c>
      <c r="E6" s="15" t="s">
        <v>244</v>
      </c>
      <c r="F6" s="15">
        <f t="shared" si="503"/>
        <v>3</v>
      </c>
      <c r="G6" s="15">
        <v>8</v>
      </c>
      <c r="I6" t="e">
        <v>#NAME?</v>
      </c>
      <c r="J6" t="e">
        <v>#NAME?</v>
      </c>
      <c r="K6" t="e">
        <v>#NAME?</v>
      </c>
      <c r="M6" t="e">
        <v>#NAME?</v>
      </c>
      <c r="N6" t="e">
        <v>#NAME?</v>
      </c>
      <c r="O6" t="e">
        <v>#NAME?</v>
      </c>
    </row>
    <row r="7">
      <c r="A7" s="15" t="s">
        <v>245</v>
      </c>
      <c r="B7" s="15">
        <f t="shared" si="502"/>
        <v>4</v>
      </c>
      <c r="C7" s="15">
        <v>25</v>
      </c>
      <c r="E7" s="15" t="s">
        <v>245</v>
      </c>
      <c r="F7" s="15">
        <f t="shared" si="503"/>
        <v>4</v>
      </c>
      <c r="G7" s="15">
        <v>25</v>
      </c>
      <c r="I7" t="e">
        <v>#NAME?</v>
      </c>
      <c r="J7" t="e">
        <v>#NAME?</v>
      </c>
      <c r="K7" t="e">
        <v>#NAME?</v>
      </c>
      <c r="M7" t="e">
        <v>#NAME?</v>
      </c>
      <c r="N7" t="e">
        <v>#NAME?</v>
      </c>
      <c r="O7" t="e">
        <v>#NAME?</v>
      </c>
    </row>
    <row r="8">
      <c r="A8" s="15" t="s">
        <v>246</v>
      </c>
      <c r="B8" s="15">
        <f t="shared" si="502"/>
        <v>5</v>
      </c>
      <c r="C8" s="15">
        <v>16</v>
      </c>
      <c r="E8" s="15" t="s">
        <v>246</v>
      </c>
      <c r="F8" s="15">
        <f t="shared" si="503"/>
        <v>5</v>
      </c>
      <c r="G8" s="15">
        <v>16</v>
      </c>
      <c r="I8" t="e">
        <v>#NAME?</v>
      </c>
      <c r="J8" t="e">
        <v>#NAME?</v>
      </c>
      <c r="K8" t="e">
        <v>#NAME?</v>
      </c>
      <c r="M8" t="e">
        <v>#NAME?</v>
      </c>
      <c r="N8" t="e">
        <v>#NAME?</v>
      </c>
      <c r="O8" t="e">
        <v>#NAME?</v>
      </c>
    </row>
    <row r="9">
      <c r="A9" s="15" t="s">
        <v>247</v>
      </c>
      <c r="B9" s="15">
        <f t="shared" si="502"/>
        <v>6</v>
      </c>
      <c r="C9" s="15">
        <v>22</v>
      </c>
      <c r="E9" s="15" t="s">
        <v>247</v>
      </c>
      <c r="F9" s="15">
        <f t="shared" si="503"/>
        <v>6</v>
      </c>
      <c r="G9" s="15">
        <v>22</v>
      </c>
      <c r="I9" t="e">
        <v>#NAME?</v>
      </c>
      <c r="J9" t="e">
        <v>#NAME?</v>
      </c>
      <c r="K9" t="e">
        <v>#NAME?</v>
      </c>
      <c r="M9" t="e">
        <v>#NAME?</v>
      </c>
      <c r="N9" t="e">
        <v>#NAME?</v>
      </c>
      <c r="O9" t="e">
        <v>#NAME?</v>
      </c>
    </row>
    <row r="10">
      <c r="A10" s="15" t="s">
        <v>248</v>
      </c>
      <c r="B10" s="15">
        <f t="shared" si="502"/>
        <v>7</v>
      </c>
      <c r="C10" s="15">
        <v>14</v>
      </c>
      <c r="E10" s="15" t="s">
        <v>248</v>
      </c>
      <c r="F10" s="15">
        <f t="shared" si="503"/>
        <v>7</v>
      </c>
      <c r="G10" s="15">
        <v>14</v>
      </c>
      <c r="I10" t="e">
        <v>#NAME?</v>
      </c>
      <c r="J10" t="e">
        <v>#NAME?</v>
      </c>
      <c r="K10" t="e">
        <v>#NAME?</v>
      </c>
      <c r="M10" t="e">
        <v>#NAME?</v>
      </c>
      <c r="N10" t="e">
        <v>#NAME?</v>
      </c>
      <c r="O10" t="e">
        <v>#NAME?</v>
      </c>
    </row>
    <row r="11">
      <c r="A11" s="15" t="s">
        <v>249</v>
      </c>
      <c r="B11" s="15">
        <f t="shared" ref="B11:B19" si="504">B10+1</f>
        <v>8</v>
      </c>
      <c r="C11" s="15">
        <v>35</v>
      </c>
      <c r="E11" s="15" t="s">
        <v>249</v>
      </c>
      <c r="F11" s="15">
        <f t="shared" ref="F11:F19" si="505">F10+1</f>
        <v>8</v>
      </c>
      <c r="G11" s="15">
        <v>35</v>
      </c>
      <c r="I11" t="e">
        <v>#NAME?</v>
      </c>
      <c r="J11" t="e">
        <v>#NAME?</v>
      </c>
      <c r="K11" t="e">
        <v>#NAME?</v>
      </c>
      <c r="M11" t="e">
        <v>#NAME?</v>
      </c>
      <c r="N11" t="e">
        <v>#NAME?</v>
      </c>
      <c r="O11" t="e">
        <v>#NAME?</v>
      </c>
    </row>
    <row r="12">
      <c r="A12" s="15" t="s">
        <v>250</v>
      </c>
      <c r="B12" s="15">
        <f t="shared" si="504"/>
        <v>9</v>
      </c>
      <c r="C12" s="15">
        <v>15</v>
      </c>
      <c r="E12" s="15" t="s">
        <v>250</v>
      </c>
      <c r="F12" s="15">
        <f t="shared" si="505"/>
        <v>9</v>
      </c>
      <c r="G12" s="15">
        <v>15</v>
      </c>
      <c r="I12" t="e">
        <v>#NAME?</v>
      </c>
      <c r="J12" t="e">
        <v>#NAME?</v>
      </c>
      <c r="K12" t="e">
        <v>#NAME?</v>
      </c>
      <c r="M12" t="e">
        <v>#NAME?</v>
      </c>
      <c r="N12" t="e">
        <v>#NAME?</v>
      </c>
      <c r="O12" t="e">
        <v>#NAME?</v>
      </c>
    </row>
    <row r="13">
      <c r="A13" s="15" t="s">
        <v>251</v>
      </c>
      <c r="B13" s="15">
        <f t="shared" si="504"/>
        <v>10</v>
      </c>
      <c r="C13" s="15">
        <v>27</v>
      </c>
      <c r="E13" s="15" t="s">
        <v>251</v>
      </c>
      <c r="F13" s="15">
        <f t="shared" si="505"/>
        <v>10</v>
      </c>
      <c r="G13" s="15"/>
      <c r="I13" t="e">
        <v>#NAME?</v>
      </c>
      <c r="J13" t="e">
        <v>#NAME?</v>
      </c>
      <c r="K13" t="e">
        <v>#NAME?</v>
      </c>
      <c r="M13" t="e">
        <v>#NAME?</v>
      </c>
      <c r="N13" t="e">
        <v>#NAME?</v>
      </c>
      <c r="O13" t="e">
        <v>#NAME?</v>
      </c>
    </row>
    <row r="14">
      <c r="A14" s="15" t="s">
        <v>252</v>
      </c>
      <c r="B14" s="15">
        <f t="shared" si="504"/>
        <v>11</v>
      </c>
      <c r="C14" s="15">
        <v>18</v>
      </c>
      <c r="E14" s="15" t="s">
        <v>252</v>
      </c>
      <c r="F14" s="15">
        <f t="shared" si="505"/>
        <v>11</v>
      </c>
      <c r="G14" s="15"/>
      <c r="I14" t="e">
        <v>#NAME?</v>
      </c>
      <c r="J14" t="e">
        <v>#NAME?</v>
      </c>
      <c r="K14" t="e">
        <v>#NAME?</v>
      </c>
      <c r="M14" t="e">
        <v>#NAME?</v>
      </c>
      <c r="N14" t="e">
        <v>#NAME?</v>
      </c>
      <c r="O14" t="e">
        <v>#NAME?</v>
      </c>
    </row>
    <row r="15">
      <c r="A15" s="15" t="s">
        <v>253</v>
      </c>
      <c r="B15" s="15">
        <f t="shared" si="504"/>
        <v>12</v>
      </c>
      <c r="C15" s="15">
        <v>40</v>
      </c>
      <c r="E15" s="15" t="s">
        <v>253</v>
      </c>
      <c r="F15" s="15">
        <f t="shared" si="505"/>
        <v>12</v>
      </c>
      <c r="G15" s="15">
        <v>40</v>
      </c>
      <c r="I15" t="e">
        <v>#NAME?</v>
      </c>
      <c r="J15" t="e">
        <v>#NAME?</v>
      </c>
      <c r="K15" t="e">
        <v>#NAME?</v>
      </c>
      <c r="M15" t="e">
        <v>#NAME?</v>
      </c>
      <c r="N15" t="e">
        <v>#NAME?</v>
      </c>
      <c r="O15" t="e">
        <v>#NAME?</v>
      </c>
    </row>
    <row r="16">
      <c r="A16" s="15" t="s">
        <v>254</v>
      </c>
      <c r="B16" s="15">
        <f t="shared" si="504"/>
        <v>13</v>
      </c>
      <c r="C16" s="15">
        <v>28</v>
      </c>
      <c r="E16" s="15" t="s">
        <v>254</v>
      </c>
      <c r="F16" s="15">
        <f t="shared" si="505"/>
        <v>13</v>
      </c>
      <c r="G16" s="15">
        <v>28</v>
      </c>
      <c r="I16" t="e">
        <v>#NAME?</v>
      </c>
      <c r="J16" t="e">
        <v>#NAME?</v>
      </c>
      <c r="K16" t="e">
        <v>#NAME?</v>
      </c>
      <c r="M16" t="e">
        <v>#NAME?</v>
      </c>
      <c r="N16" t="e">
        <v>#NAME?</v>
      </c>
      <c r="O16" t="e">
        <v>#NAME?</v>
      </c>
    </row>
    <row r="17">
      <c r="A17" s="15" t="s">
        <v>255</v>
      </c>
      <c r="B17" s="15">
        <f t="shared" si="504"/>
        <v>14</v>
      </c>
      <c r="C17" s="15">
        <v>40</v>
      </c>
      <c r="E17" s="15" t="s">
        <v>255</v>
      </c>
      <c r="F17" s="15">
        <f t="shared" si="505"/>
        <v>14</v>
      </c>
      <c r="G17" s="15">
        <v>40</v>
      </c>
      <c r="I17" t="e">
        <v>#NAME?</v>
      </c>
      <c r="J17" t="e">
        <v>#NAME?</v>
      </c>
      <c r="K17" t="e">
        <v>#NAME?</v>
      </c>
      <c r="M17" t="e">
        <v>#NAME?</v>
      </c>
      <c r="N17" t="e">
        <v>#NAME?</v>
      </c>
      <c r="O17" t="e">
        <v>#NAME?</v>
      </c>
    </row>
    <row r="18">
      <c r="A18" s="15" t="s">
        <v>256</v>
      </c>
      <c r="B18" s="15">
        <f t="shared" si="504"/>
        <v>15</v>
      </c>
      <c r="C18" s="15">
        <v>25</v>
      </c>
      <c r="E18" s="15" t="s">
        <v>256</v>
      </c>
      <c r="F18" s="15">
        <f t="shared" si="505"/>
        <v>15</v>
      </c>
      <c r="G18" s="15">
        <v>25</v>
      </c>
      <c r="I18" t="e">
        <v>#NAME?</v>
      </c>
      <c r="J18" t="e">
        <v>#NAME?</v>
      </c>
      <c r="K18" t="e">
        <v>#NAME?</v>
      </c>
      <c r="M18" t="e">
        <v>#NAME?</v>
      </c>
      <c r="N18" t="e">
        <v>#NAME?</v>
      </c>
      <c r="O18" t="e">
        <v>#NAME?</v>
      </c>
    </row>
    <row r="19">
      <c r="A19" s="17" t="s">
        <v>257</v>
      </c>
      <c r="B19" s="17">
        <f t="shared" si="504"/>
        <v>16</v>
      </c>
      <c r="C19" s="17">
        <v>65</v>
      </c>
      <c r="E19" s="17" t="s">
        <v>257</v>
      </c>
      <c r="F19" s="17">
        <f t="shared" si="505"/>
        <v>16</v>
      </c>
      <c r="G19" s="17"/>
      <c r="I19" s="14" t="e">
        <v>#NAME?</v>
      </c>
      <c r="J19" s="14" t="e">
        <v>#NAME?</v>
      </c>
      <c r="K19" s="14" t="e">
        <v>#NAME?</v>
      </c>
      <c r="M19" s="14" t="e">
        <v>#NAME?</v>
      </c>
      <c r="N19" s="14" t="e">
        <v>#NAME?</v>
      </c>
      <c r="O19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6.7232139999999996"/>
    <col customWidth="1" min="2" max="2" width="5.8125"/>
    <col customWidth="1" min="5" max="7" width="7.5446429999999998"/>
    <col customWidth="1" min="10" max="12" width="7.5446429999999998"/>
  </cols>
  <sheetData>
    <row r="1">
      <c r="A1" s="1" t="s">
        <v>427</v>
      </c>
      <c r="Z1" t="s">
        <v>423</v>
      </c>
      <c r="AD1" t="s">
        <v>424</v>
      </c>
    </row>
    <row r="3">
      <c r="A3" s="4" t="s">
        <v>240</v>
      </c>
      <c r="B3" s="4" t="s">
        <v>206</v>
      </c>
      <c r="C3" s="4" t="s">
        <v>207</v>
      </c>
      <c r="E3" s="4" t="s">
        <v>240</v>
      </c>
      <c r="F3" s="4" t="s">
        <v>206</v>
      </c>
      <c r="G3" s="4" t="s">
        <v>207</v>
      </c>
      <c r="H3" s="4" t="s">
        <v>428</v>
      </c>
      <c r="I3" s="15"/>
      <c r="J3" s="4" t="s">
        <v>240</v>
      </c>
      <c r="K3" s="4" t="s">
        <v>206</v>
      </c>
      <c r="L3" s="4" t="s">
        <v>207</v>
      </c>
      <c r="M3" s="4" t="s">
        <v>428</v>
      </c>
      <c r="N3" s="15"/>
      <c r="O3" s="15"/>
      <c r="R3" s="15"/>
      <c r="S3" s="15"/>
      <c r="T3" s="15"/>
      <c r="U3" s="15"/>
      <c r="V3" s="15"/>
      <c r="W3" s="15"/>
      <c r="X3" s="15"/>
      <c r="Z3" s="51" t="s">
        <v>372</v>
      </c>
      <c r="AA3" s="51" t="s">
        <v>425</v>
      </c>
      <c r="AB3" s="51" t="s">
        <v>426</v>
      </c>
      <c r="AD3" s="51" t="s">
        <v>372</v>
      </c>
      <c r="AE3" s="51" t="s">
        <v>425</v>
      </c>
      <c r="AF3" s="51" t="s">
        <v>426</v>
      </c>
    </row>
    <row r="4">
      <c r="A4" s="15" t="s">
        <v>242</v>
      </c>
      <c r="B4" s="15">
        <v>1</v>
      </c>
      <c r="C4" s="15">
        <v>10</v>
      </c>
      <c r="E4" s="15" t="s">
        <v>242</v>
      </c>
      <c r="F4" s="15">
        <v>1</v>
      </c>
      <c r="G4" s="15">
        <v>10</v>
      </c>
      <c r="H4" s="15" t="e">
        <v>#NAME?</v>
      </c>
      <c r="I4" s="15"/>
      <c r="J4" s="15" t="s">
        <v>242</v>
      </c>
      <c r="K4" s="15">
        <f>F4</f>
        <v>1</v>
      </c>
      <c r="L4" s="15">
        <v>10</v>
      </c>
      <c r="M4" s="15" t="e">
        <v>#NAME?</v>
      </c>
      <c r="N4" s="15"/>
      <c r="O4" s="15"/>
      <c r="R4" s="15"/>
      <c r="S4" s="15"/>
      <c r="T4" s="15"/>
      <c r="U4" s="15"/>
      <c r="V4" s="15"/>
      <c r="W4" s="15"/>
      <c r="X4" s="15"/>
      <c r="Z4" t="e">
        <v>#NAME?</v>
      </c>
      <c r="AA4" t="e">
        <v>#NAME?</v>
      </c>
      <c r="AB4" t="e">
        <v>#NAME?</v>
      </c>
      <c r="AD4" t="e">
        <v>#NAME?</v>
      </c>
      <c r="AE4" t="e">
        <v>#NAME?</v>
      </c>
      <c r="AF4" t="e">
        <v>#NAME?</v>
      </c>
    </row>
    <row r="5">
      <c r="A5" s="15" t="s">
        <v>243</v>
      </c>
      <c r="B5" s="15">
        <f t="shared" ref="B5:B10" si="506">B4+1</f>
        <v>2</v>
      </c>
      <c r="C5" s="15">
        <v>14</v>
      </c>
      <c r="E5" s="15" t="s">
        <v>243</v>
      </c>
      <c r="F5" s="15">
        <f t="shared" ref="F5:F10" si="507">F4+1</f>
        <v>2</v>
      </c>
      <c r="G5" s="15"/>
      <c r="H5" s="15" t="e">
        <v>#NAME?</v>
      </c>
      <c r="I5" s="15"/>
      <c r="J5" s="15" t="s">
        <v>246</v>
      </c>
      <c r="K5" s="15">
        <f t="shared" ref="K5:K10" si="508">K4+4</f>
        <v>5</v>
      </c>
      <c r="L5" s="15">
        <v>16</v>
      </c>
      <c r="M5" s="15" t="e">
        <v>#NAME?</v>
      </c>
      <c r="N5" s="15"/>
      <c r="O5" s="15"/>
      <c r="R5" s="15"/>
      <c r="S5" s="15"/>
      <c r="T5" s="15"/>
      <c r="U5" s="15"/>
      <c r="V5" s="15"/>
      <c r="W5" s="15"/>
      <c r="X5" s="15"/>
      <c r="Z5" t="e">
        <v>#NAME?</v>
      </c>
      <c r="AA5" t="e">
        <v>#NAME?</v>
      </c>
      <c r="AB5" t="e">
        <v>#NAME?</v>
      </c>
      <c r="AD5" t="e">
        <v>#NAME?</v>
      </c>
      <c r="AE5" t="e">
        <v>#NAME?</v>
      </c>
      <c r="AF5" t="e">
        <v>#NAME?</v>
      </c>
    </row>
    <row r="6">
      <c r="A6" s="15" t="s">
        <v>244</v>
      </c>
      <c r="B6" s="15">
        <f t="shared" si="506"/>
        <v>3</v>
      </c>
      <c r="C6" s="15">
        <v>8</v>
      </c>
      <c r="E6" s="15" t="s">
        <v>244</v>
      </c>
      <c r="F6" s="15">
        <f t="shared" si="507"/>
        <v>3</v>
      </c>
      <c r="G6" s="15">
        <v>8</v>
      </c>
      <c r="H6" s="15" t="e">
        <v>#NAME?</v>
      </c>
      <c r="I6" s="15"/>
      <c r="J6" s="15" t="s">
        <v>250</v>
      </c>
      <c r="K6" s="15">
        <f t="shared" si="508"/>
        <v>9</v>
      </c>
      <c r="L6" s="15">
        <v>15</v>
      </c>
      <c r="M6" s="15" t="e">
        <v>#NAME?</v>
      </c>
      <c r="N6" s="15"/>
      <c r="O6" s="15"/>
      <c r="R6" s="15"/>
      <c r="S6" s="15"/>
      <c r="T6" s="15"/>
      <c r="U6" s="15"/>
      <c r="V6" s="15"/>
      <c r="W6" s="15"/>
      <c r="X6" s="15"/>
      <c r="Z6" t="e">
        <v>#NAME?</v>
      </c>
      <c r="AA6" t="e">
        <v>#NAME?</v>
      </c>
      <c r="AB6" t="e">
        <v>#NAME?</v>
      </c>
      <c r="AD6" t="e">
        <v>#NAME?</v>
      </c>
      <c r="AE6" t="e">
        <v>#NAME?</v>
      </c>
      <c r="AF6" t="e">
        <v>#NAME?</v>
      </c>
    </row>
    <row r="7">
      <c r="A7" s="15" t="s">
        <v>245</v>
      </c>
      <c r="B7" s="15">
        <f t="shared" si="506"/>
        <v>4</v>
      </c>
      <c r="C7" s="15">
        <v>25</v>
      </c>
      <c r="E7" s="15" t="s">
        <v>245</v>
      </c>
      <c r="F7" s="15">
        <f t="shared" si="507"/>
        <v>4</v>
      </c>
      <c r="G7" s="15">
        <v>25</v>
      </c>
      <c r="H7" s="15" t="e">
        <v>#NAME?</v>
      </c>
      <c r="I7" s="15"/>
      <c r="J7" s="17" t="s">
        <v>254</v>
      </c>
      <c r="K7" s="17">
        <f t="shared" si="508"/>
        <v>13</v>
      </c>
      <c r="L7" s="17">
        <v>28</v>
      </c>
      <c r="M7" s="17" t="e">
        <v>#NAME?</v>
      </c>
      <c r="N7" s="15"/>
      <c r="O7" s="15"/>
      <c r="R7" s="15"/>
      <c r="S7" s="15"/>
      <c r="T7" s="15"/>
      <c r="U7" s="15"/>
      <c r="V7" s="15"/>
      <c r="W7" s="15"/>
      <c r="X7" s="15"/>
      <c r="Z7" t="e">
        <v>#NAME?</v>
      </c>
      <c r="AA7" t="e">
        <v>#NAME?</v>
      </c>
      <c r="AB7" t="e">
        <v>#NAME?</v>
      </c>
      <c r="AD7" t="e">
        <v>#NAME?</v>
      </c>
      <c r="AE7" t="e">
        <v>#NAME?</v>
      </c>
      <c r="AF7" t="e">
        <v>#NAME?</v>
      </c>
    </row>
    <row r="8">
      <c r="A8" s="15" t="s">
        <v>246</v>
      </c>
      <c r="B8" s="15">
        <f t="shared" si="506"/>
        <v>5</v>
      </c>
      <c r="C8" s="15">
        <v>16</v>
      </c>
      <c r="E8" s="15" t="s">
        <v>246</v>
      </c>
      <c r="F8" s="15">
        <f t="shared" si="507"/>
        <v>5</v>
      </c>
      <c r="G8" s="15">
        <v>16</v>
      </c>
      <c r="H8" s="15" t="e">
        <v>#NAME?</v>
      </c>
      <c r="I8" s="15"/>
      <c r="J8" s="15" t="str">
        <f>E5</f>
        <v xml:space="preserve">10 Q2</v>
      </c>
      <c r="K8" s="15">
        <v>2</v>
      </c>
      <c r="L8" s="15"/>
      <c r="M8" s="15" t="e">
        <v>#NAME?</v>
      </c>
      <c r="N8" s="15"/>
      <c r="O8" s="15"/>
      <c r="R8" s="15"/>
      <c r="S8" s="15"/>
      <c r="T8" s="15"/>
      <c r="U8" s="15"/>
      <c r="V8" s="15"/>
      <c r="W8" s="15"/>
      <c r="X8" s="15"/>
      <c r="Z8" t="e">
        <v>#NAME?</v>
      </c>
      <c r="AA8" t="e">
        <v>#NAME?</v>
      </c>
      <c r="AB8" t="e">
        <v>#NAME?</v>
      </c>
      <c r="AD8" t="e">
        <v>#NAME?</v>
      </c>
      <c r="AE8" t="e">
        <v>#NAME?</v>
      </c>
      <c r="AF8" t="e">
        <v>#NAME?</v>
      </c>
    </row>
    <row r="9">
      <c r="A9" s="15" t="s">
        <v>247</v>
      </c>
      <c r="B9" s="15">
        <f t="shared" si="506"/>
        <v>6</v>
      </c>
      <c r="C9" s="15">
        <v>22</v>
      </c>
      <c r="E9" s="15" t="s">
        <v>247</v>
      </c>
      <c r="F9" s="15">
        <f t="shared" si="507"/>
        <v>6</v>
      </c>
      <c r="G9" s="15">
        <v>22</v>
      </c>
      <c r="H9" s="15" t="e">
        <v>#NAME?</v>
      </c>
      <c r="I9" s="15"/>
      <c r="J9" s="15" t="s">
        <v>247</v>
      </c>
      <c r="K9" s="15">
        <f t="shared" si="508"/>
        <v>6</v>
      </c>
      <c r="L9" s="15">
        <v>22</v>
      </c>
      <c r="M9" s="15" t="e">
        <v>#NAME?</v>
      </c>
      <c r="N9" s="15"/>
      <c r="O9" s="15"/>
      <c r="R9" s="15"/>
      <c r="S9" s="15"/>
      <c r="T9" s="15"/>
      <c r="U9" s="15"/>
      <c r="V9" s="15"/>
      <c r="W9" s="15"/>
      <c r="X9" s="15"/>
      <c r="Z9" t="e">
        <v>#NAME?</v>
      </c>
      <c r="AA9" t="e">
        <v>#NAME?</v>
      </c>
      <c r="AB9" t="e">
        <v>#NAME?</v>
      </c>
      <c r="AD9" t="e">
        <v>#NAME?</v>
      </c>
      <c r="AE9" t="e">
        <v>#NAME?</v>
      </c>
      <c r="AF9" t="e">
        <v>#NAME?</v>
      </c>
    </row>
    <row r="10">
      <c r="A10" s="15" t="s">
        <v>248</v>
      </c>
      <c r="B10" s="15">
        <f t="shared" si="506"/>
        <v>7</v>
      </c>
      <c r="C10" s="15">
        <v>14</v>
      </c>
      <c r="E10" s="15" t="s">
        <v>248</v>
      </c>
      <c r="F10" s="15">
        <f t="shared" si="507"/>
        <v>7</v>
      </c>
      <c r="G10" s="15">
        <v>14</v>
      </c>
      <c r="H10" s="15" t="e">
        <v>#NAME?</v>
      </c>
      <c r="I10" s="15"/>
      <c r="J10" s="15" t="s">
        <v>251</v>
      </c>
      <c r="K10" s="15">
        <f t="shared" si="508"/>
        <v>10</v>
      </c>
      <c r="L10" s="15"/>
      <c r="M10" s="15" t="e">
        <v>#NAME?</v>
      </c>
      <c r="N10" s="15"/>
      <c r="O10" s="15"/>
      <c r="R10" s="15"/>
      <c r="S10" s="15"/>
      <c r="T10" s="15"/>
      <c r="U10" s="15"/>
      <c r="V10" s="15"/>
      <c r="W10" s="15"/>
      <c r="X10" s="15"/>
      <c r="Z10" t="e">
        <v>#NAME?</v>
      </c>
      <c r="AA10" t="e">
        <v>#NAME?</v>
      </c>
      <c r="AB10" t="e">
        <v>#NAME?</v>
      </c>
      <c r="AD10" t="e">
        <v>#NAME?</v>
      </c>
      <c r="AE10" t="e">
        <v>#NAME?</v>
      </c>
      <c r="AF10" t="e">
        <v>#NAME?</v>
      </c>
    </row>
    <row r="11">
      <c r="A11" s="15" t="s">
        <v>249</v>
      </c>
      <c r="B11" s="15">
        <f t="shared" ref="B11:B19" si="509">B10+1</f>
        <v>8</v>
      </c>
      <c r="C11" s="15">
        <v>35</v>
      </c>
      <c r="E11" s="15" t="s">
        <v>249</v>
      </c>
      <c r="F11" s="15">
        <f t="shared" ref="F11:F19" si="510">F10+1</f>
        <v>8</v>
      </c>
      <c r="G11" s="15">
        <v>35</v>
      </c>
      <c r="H11" s="15" t="e">
        <v>#NAME?</v>
      </c>
      <c r="I11" s="15"/>
      <c r="J11" s="17" t="s">
        <v>255</v>
      </c>
      <c r="K11" s="17">
        <f>K10+4</f>
        <v>14</v>
      </c>
      <c r="L11" s="17">
        <v>40</v>
      </c>
      <c r="M11" s="17" t="e">
        <v>#NAME?</v>
      </c>
      <c r="N11" s="15"/>
      <c r="O11" s="15"/>
      <c r="R11" s="15"/>
      <c r="S11" s="15"/>
      <c r="T11" s="15"/>
      <c r="U11" s="15"/>
      <c r="V11" s="15"/>
      <c r="W11" s="15"/>
      <c r="X11" s="15"/>
      <c r="Z11" t="e">
        <v>#NAME?</v>
      </c>
      <c r="AA11" t="e">
        <v>#NAME?</v>
      </c>
      <c r="AB11" t="e">
        <v>#NAME?</v>
      </c>
      <c r="AD11" t="e">
        <v>#NAME?</v>
      </c>
      <c r="AE11" t="e">
        <v>#NAME?</v>
      </c>
      <c r="AF11" t="e">
        <v>#NAME?</v>
      </c>
    </row>
    <row r="12">
      <c r="A12" s="15" t="s">
        <v>250</v>
      </c>
      <c r="B12" s="15">
        <f t="shared" si="509"/>
        <v>9</v>
      </c>
      <c r="C12" s="15">
        <v>15</v>
      </c>
      <c r="E12" s="15" t="s">
        <v>250</v>
      </c>
      <c r="F12" s="15">
        <f t="shared" si="510"/>
        <v>9</v>
      </c>
      <c r="G12" s="15">
        <v>15</v>
      </c>
      <c r="H12" s="15" t="e">
        <v>#NAME?</v>
      </c>
      <c r="I12" s="15"/>
      <c r="J12" s="15" t="s">
        <v>244</v>
      </c>
      <c r="K12" s="15">
        <v>3</v>
      </c>
      <c r="L12" s="15">
        <v>8</v>
      </c>
      <c r="M12" s="15" t="e">
        <v>#NAME?</v>
      </c>
      <c r="N12" s="15"/>
      <c r="O12" s="15"/>
      <c r="R12" s="15"/>
      <c r="S12" s="15"/>
      <c r="T12" s="15"/>
      <c r="U12" s="15"/>
      <c r="V12" s="15"/>
      <c r="W12" s="15"/>
      <c r="X12" s="15"/>
      <c r="Z12" t="e">
        <v>#NAME?</v>
      </c>
      <c r="AA12" t="e">
        <v>#NAME?</v>
      </c>
      <c r="AB12" t="e">
        <v>#NAME?</v>
      </c>
      <c r="AD12" t="e">
        <v>#NAME?</v>
      </c>
      <c r="AE12" t="e">
        <v>#NAME?</v>
      </c>
      <c r="AF12" t="e">
        <v>#NAME?</v>
      </c>
    </row>
    <row r="13">
      <c r="A13" s="15" t="s">
        <v>251</v>
      </c>
      <c r="B13" s="15">
        <f t="shared" si="509"/>
        <v>10</v>
      </c>
      <c r="C13" s="15">
        <v>27</v>
      </c>
      <c r="E13" s="15" t="s">
        <v>251</v>
      </c>
      <c r="F13" s="15">
        <f t="shared" si="510"/>
        <v>10</v>
      </c>
      <c r="G13" s="15"/>
      <c r="H13" s="15" t="e">
        <v>#NAME?</v>
      </c>
      <c r="I13" s="15"/>
      <c r="J13" s="15" t="s">
        <v>248</v>
      </c>
      <c r="K13" s="15">
        <f t="shared" ref="K13:K15" si="511">K12+4</f>
        <v>7</v>
      </c>
      <c r="L13" s="15">
        <v>14</v>
      </c>
      <c r="M13" s="15" t="e">
        <v>#NAME?</v>
      </c>
      <c r="N13" s="15"/>
      <c r="O13" s="15"/>
      <c r="R13" s="15"/>
      <c r="S13" s="15"/>
      <c r="T13" s="15"/>
      <c r="U13" s="15"/>
      <c r="V13" s="15"/>
      <c r="W13" s="15"/>
      <c r="X13" s="15"/>
      <c r="Z13" t="e">
        <v>#NAME?</v>
      </c>
      <c r="AA13" t="e">
        <v>#NAME?</v>
      </c>
      <c r="AB13" t="e">
        <v>#NAME?</v>
      </c>
      <c r="AD13" t="e">
        <v>#NAME?</v>
      </c>
      <c r="AE13" t="e">
        <v>#NAME?</v>
      </c>
      <c r="AF13" t="e">
        <v>#NAME?</v>
      </c>
    </row>
    <row r="14">
      <c r="A14" s="15" t="s">
        <v>252</v>
      </c>
      <c r="B14" s="15">
        <f t="shared" si="509"/>
        <v>11</v>
      </c>
      <c r="C14" s="15">
        <v>18</v>
      </c>
      <c r="E14" s="15" t="s">
        <v>252</v>
      </c>
      <c r="F14" s="15">
        <f t="shared" si="510"/>
        <v>11</v>
      </c>
      <c r="G14" s="15"/>
      <c r="H14" s="15" t="e">
        <v>#NAME?</v>
      </c>
      <c r="I14" s="15"/>
      <c r="J14" s="15" t="s">
        <v>252</v>
      </c>
      <c r="K14" s="15">
        <f t="shared" si="511"/>
        <v>11</v>
      </c>
      <c r="L14" s="15"/>
      <c r="M14" s="15" t="e">
        <v>#NAME?</v>
      </c>
      <c r="N14" s="15"/>
      <c r="O14" s="15"/>
      <c r="R14" s="15"/>
      <c r="S14" s="15"/>
      <c r="T14" s="15"/>
      <c r="U14" s="15"/>
      <c r="V14" s="15"/>
      <c r="W14" s="15"/>
      <c r="X14" s="15"/>
      <c r="Z14" t="e">
        <v>#NAME?</v>
      </c>
      <c r="AA14" t="e">
        <v>#NAME?</v>
      </c>
      <c r="AB14" t="e">
        <v>#NAME?</v>
      </c>
      <c r="AD14" t="e">
        <v>#NAME?</v>
      </c>
      <c r="AE14" t="e">
        <v>#NAME?</v>
      </c>
      <c r="AF14" t="e">
        <v>#NAME?</v>
      </c>
    </row>
    <row r="15">
      <c r="A15" s="15" t="s">
        <v>253</v>
      </c>
      <c r="B15" s="15">
        <f t="shared" si="509"/>
        <v>12</v>
      </c>
      <c r="C15" s="15">
        <v>40</v>
      </c>
      <c r="E15" s="15" t="s">
        <v>253</v>
      </c>
      <c r="F15" s="15">
        <f t="shared" si="510"/>
        <v>12</v>
      </c>
      <c r="G15" s="15">
        <v>40</v>
      </c>
      <c r="H15" s="15" t="e">
        <v>#NAME?</v>
      </c>
      <c r="I15" s="15"/>
      <c r="J15" s="17" t="s">
        <v>256</v>
      </c>
      <c r="K15" s="17">
        <f t="shared" si="511"/>
        <v>15</v>
      </c>
      <c r="L15" s="17">
        <v>25</v>
      </c>
      <c r="M15" s="17" t="e">
        <v>#NAME?</v>
      </c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Z15" t="e">
        <v>#NAME?</v>
      </c>
      <c r="AA15" t="e">
        <v>#NAME?</v>
      </c>
      <c r="AB15" t="e">
        <v>#NAME?</v>
      </c>
      <c r="AD15" t="e">
        <v>#NAME?</v>
      </c>
      <c r="AE15" t="e">
        <v>#NAME?</v>
      </c>
      <c r="AF15" t="e">
        <v>#NAME?</v>
      </c>
    </row>
    <row r="16">
      <c r="A16" s="15" t="s">
        <v>254</v>
      </c>
      <c r="B16" s="15">
        <f t="shared" si="509"/>
        <v>13</v>
      </c>
      <c r="C16" s="15">
        <v>28</v>
      </c>
      <c r="E16" s="15" t="s">
        <v>254</v>
      </c>
      <c r="F16" s="15">
        <f t="shared" si="510"/>
        <v>13</v>
      </c>
      <c r="G16" s="15">
        <v>28</v>
      </c>
      <c r="H16" s="15" t="e">
        <v>#NAME?</v>
      </c>
      <c r="I16" s="15"/>
      <c r="J16" s="15" t="s">
        <v>245</v>
      </c>
      <c r="K16" s="15">
        <f t="shared" ref="K16:K19" si="512">K15+1</f>
        <v>16</v>
      </c>
      <c r="L16" s="15">
        <v>25</v>
      </c>
      <c r="M16" s="15" t="e">
        <v>#NAME?</v>
      </c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Z16" t="e">
        <v>#NAME?</v>
      </c>
      <c r="AA16" t="e">
        <v>#NAME?</v>
      </c>
      <c r="AB16" t="e">
        <v>#NAME?</v>
      </c>
      <c r="AD16" t="e">
        <v>#NAME?</v>
      </c>
      <c r="AE16" t="e">
        <v>#NAME?</v>
      </c>
      <c r="AF16" t="e">
        <v>#NAME?</v>
      </c>
    </row>
    <row r="17">
      <c r="A17" s="15" t="s">
        <v>255</v>
      </c>
      <c r="B17" s="15">
        <f t="shared" si="509"/>
        <v>14</v>
      </c>
      <c r="C17" s="15">
        <v>40</v>
      </c>
      <c r="E17" s="15" t="s">
        <v>255</v>
      </c>
      <c r="F17" s="15">
        <f t="shared" si="510"/>
        <v>14</v>
      </c>
      <c r="G17" s="15">
        <v>40</v>
      </c>
      <c r="H17" s="15" t="e">
        <v>#NAME?</v>
      </c>
      <c r="I17" s="15"/>
      <c r="J17" s="15" t="s">
        <v>249</v>
      </c>
      <c r="K17" s="15">
        <f t="shared" si="512"/>
        <v>17</v>
      </c>
      <c r="L17" s="15">
        <v>35</v>
      </c>
      <c r="M17" s="15" t="e">
        <v>#NAME?</v>
      </c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Z17" t="e">
        <v>#NAME?</v>
      </c>
      <c r="AA17" t="e">
        <v>#NAME?</v>
      </c>
      <c r="AB17" t="e">
        <v>#NAME?</v>
      </c>
      <c r="AD17" t="e">
        <v>#NAME?</v>
      </c>
      <c r="AE17" t="e">
        <v>#NAME?</v>
      </c>
      <c r="AF17" t="e">
        <v>#NAME?</v>
      </c>
    </row>
    <row r="18">
      <c r="A18" s="15" t="s">
        <v>256</v>
      </c>
      <c r="B18" s="15">
        <f t="shared" si="509"/>
        <v>15</v>
      </c>
      <c r="C18" s="15">
        <v>25</v>
      </c>
      <c r="E18" s="15" t="s">
        <v>256</v>
      </c>
      <c r="F18" s="15">
        <f t="shared" si="510"/>
        <v>15</v>
      </c>
      <c r="G18" s="15">
        <v>25</v>
      </c>
      <c r="H18" s="15" t="e">
        <v>#NAME?</v>
      </c>
      <c r="I18" s="15"/>
      <c r="J18" s="15" t="s">
        <v>253</v>
      </c>
      <c r="K18" s="15">
        <f t="shared" si="512"/>
        <v>18</v>
      </c>
      <c r="L18" s="15">
        <v>40</v>
      </c>
      <c r="M18" s="15" t="e">
        <v>#NAME?</v>
      </c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Z18" t="e">
        <v>#NAME?</v>
      </c>
      <c r="AA18" t="e">
        <v>#NAME?</v>
      </c>
      <c r="AB18" t="e">
        <v>#NAME?</v>
      </c>
      <c r="AD18" t="e">
        <v>#NAME?</v>
      </c>
      <c r="AE18" t="e">
        <v>#NAME?</v>
      </c>
      <c r="AF18" t="e">
        <v>#NAME?</v>
      </c>
    </row>
    <row r="19">
      <c r="A19" s="17" t="s">
        <v>257</v>
      </c>
      <c r="B19" s="17">
        <f t="shared" si="509"/>
        <v>16</v>
      </c>
      <c r="C19" s="17">
        <v>65</v>
      </c>
      <c r="E19" s="17" t="s">
        <v>257</v>
      </c>
      <c r="F19" s="17">
        <f t="shared" si="510"/>
        <v>16</v>
      </c>
      <c r="G19" s="17"/>
      <c r="H19" s="17" t="e">
        <v>#NAME?</v>
      </c>
      <c r="I19" s="15"/>
      <c r="J19" s="17" t="s">
        <v>257</v>
      </c>
      <c r="K19" s="17">
        <f t="shared" si="512"/>
        <v>19</v>
      </c>
      <c r="L19" s="17"/>
      <c r="M19" s="17" t="e">
        <v>#NAME?</v>
      </c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Z19" s="14" t="e">
        <v>#NAME?</v>
      </c>
      <c r="AA19" s="14" t="e">
        <v>#NAME?</v>
      </c>
      <c r="AB19" s="14" t="e">
        <v>#NAME?</v>
      </c>
      <c r="AD19" s="14" t="e">
        <v>#NAME?</v>
      </c>
      <c r="AE19" s="14" t="e">
        <v>#NAME?</v>
      </c>
      <c r="AF19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B4" activeCellId="0" sqref="B4:B25"/>
    </sheetView>
  </sheetViews>
  <sheetFormatPr defaultRowHeight="14.25"/>
  <cols>
    <col customWidth="1" min="1" max="1" width="6.7232139999999996"/>
    <col customWidth="1" min="2" max="2" width="5.8125"/>
    <col customWidth="1" min="5" max="8" width="7.5446429999999998"/>
  </cols>
  <sheetData>
    <row r="1">
      <c r="A1" s="1" t="s">
        <v>429</v>
      </c>
    </row>
    <row r="3">
      <c r="A3" s="4" t="s">
        <v>240</v>
      </c>
      <c r="B3" s="4" t="s">
        <v>206</v>
      </c>
      <c r="C3" s="4" t="s">
        <v>207</v>
      </c>
      <c r="E3" s="4" t="s">
        <v>240</v>
      </c>
      <c r="F3" s="4" t="s">
        <v>206</v>
      </c>
      <c r="G3" s="4" t="s">
        <v>207</v>
      </c>
      <c r="H3" s="4" t="s">
        <v>426</v>
      </c>
      <c r="I3" s="4" t="s">
        <v>430</v>
      </c>
      <c r="J3" s="4" t="s">
        <v>428</v>
      </c>
      <c r="K3" s="4" t="s">
        <v>425</v>
      </c>
      <c r="L3" s="15"/>
      <c r="M3" s="15"/>
      <c r="N3" s="15"/>
      <c r="O3" s="15"/>
      <c r="P3" s="15"/>
      <c r="Q3" s="15"/>
      <c r="R3" s="15"/>
    </row>
    <row r="4">
      <c r="A4" s="15" t="s">
        <v>242</v>
      </c>
      <c r="B4" s="15">
        <v>1</v>
      </c>
      <c r="C4" s="15">
        <v>10</v>
      </c>
      <c r="E4" s="15" t="s">
        <v>242</v>
      </c>
      <c r="F4" s="15">
        <v>1</v>
      </c>
      <c r="G4" s="15">
        <v>10</v>
      </c>
      <c r="H4" s="15" t="e">
        <v>#NAME?</v>
      </c>
      <c r="K4" s="15" t="e">
        <f t="shared" ref="K4:K7" si="513">H4</f>
        <v>#NAME?</v>
      </c>
      <c r="L4" s="15"/>
      <c r="M4" s="15"/>
      <c r="N4" s="15"/>
      <c r="O4" s="15"/>
      <c r="P4" s="15"/>
      <c r="Q4" s="15"/>
      <c r="R4" s="15"/>
    </row>
    <row r="5">
      <c r="A5" s="15" t="s">
        <v>243</v>
      </c>
      <c r="B5" s="15">
        <f t="shared" ref="B5:B10" si="514">B4+1</f>
        <v>2</v>
      </c>
      <c r="C5" s="15">
        <v>14</v>
      </c>
      <c r="E5" s="15" t="s">
        <v>243</v>
      </c>
      <c r="F5" s="15">
        <f t="shared" ref="F5:F10" si="515">F4+1</f>
        <v>2</v>
      </c>
      <c r="G5" s="15"/>
      <c r="H5" s="15" t="e">
        <v>#NAME?</v>
      </c>
      <c r="K5" s="15" t="e">
        <f t="shared" si="513"/>
        <v>#NAME?</v>
      </c>
      <c r="L5" s="15"/>
      <c r="M5" s="15"/>
      <c r="N5" s="15"/>
      <c r="O5" s="15"/>
      <c r="P5" s="15"/>
      <c r="Q5" s="15"/>
      <c r="R5" s="15"/>
    </row>
    <row r="6">
      <c r="A6" s="15" t="s">
        <v>244</v>
      </c>
      <c r="B6" s="15">
        <f t="shared" si="514"/>
        <v>3</v>
      </c>
      <c r="C6" s="15">
        <v>8</v>
      </c>
      <c r="E6" s="15" t="s">
        <v>244</v>
      </c>
      <c r="F6" s="15">
        <f t="shared" si="515"/>
        <v>3</v>
      </c>
      <c r="G6" s="15">
        <v>8</v>
      </c>
      <c r="H6" s="15" t="e">
        <v>#NAME?</v>
      </c>
      <c r="K6" s="15" t="e">
        <f t="shared" si="513"/>
        <v>#NAME?</v>
      </c>
      <c r="L6" s="15"/>
      <c r="M6" s="15"/>
      <c r="N6" s="15"/>
      <c r="O6" s="15"/>
      <c r="P6" s="15"/>
      <c r="Q6" s="15"/>
      <c r="R6" s="15"/>
    </row>
    <row r="7">
      <c r="A7" s="15" t="s">
        <v>245</v>
      </c>
      <c r="B7" s="15">
        <f t="shared" si="514"/>
        <v>4</v>
      </c>
      <c r="C7" s="15">
        <v>25</v>
      </c>
      <c r="E7" s="15" t="s">
        <v>245</v>
      </c>
      <c r="F7" s="15">
        <f t="shared" si="515"/>
        <v>4</v>
      </c>
      <c r="G7" s="15">
        <v>25</v>
      </c>
      <c r="H7" s="15" t="e">
        <v>#NAME?</v>
      </c>
      <c r="K7" s="15" t="e">
        <f t="shared" si="513"/>
        <v>#NAME?</v>
      </c>
      <c r="L7" s="15"/>
      <c r="M7" s="15"/>
      <c r="N7" s="15"/>
      <c r="O7" s="15"/>
      <c r="P7" s="15"/>
      <c r="Q7" s="15"/>
      <c r="R7" s="15"/>
    </row>
    <row r="8">
      <c r="A8" s="15" t="s">
        <v>246</v>
      </c>
      <c r="B8" s="15">
        <f t="shared" si="514"/>
        <v>5</v>
      </c>
      <c r="C8" s="15">
        <v>16</v>
      </c>
      <c r="E8" s="15" t="s">
        <v>246</v>
      </c>
      <c r="F8" s="15">
        <f t="shared" si="515"/>
        <v>5</v>
      </c>
      <c r="G8" s="15">
        <v>16</v>
      </c>
      <c r="H8" s="15">
        <f t="shared" ref="H8:H9" si="516">IF(G8="","",G8)</f>
        <v>16</v>
      </c>
      <c r="I8" s="15" t="e">
        <f t="shared" ref="I8:I9" si="517">IF(H4="","",IF(H8="","",H8-H4))</f>
        <v>#NAME?</v>
      </c>
      <c r="J8" s="15" t="e">
        <v>#NAME?</v>
      </c>
      <c r="K8" s="15">
        <f t="shared" ref="K8:K9" si="518">IF(G8="",J8+K4,G8)</f>
        <v>16</v>
      </c>
      <c r="L8" s="15"/>
      <c r="M8" s="15"/>
      <c r="N8" s="15"/>
      <c r="O8" s="15"/>
      <c r="P8" s="15"/>
      <c r="Q8" s="15"/>
      <c r="R8" s="15"/>
    </row>
    <row r="9">
      <c r="A9" s="15" t="s">
        <v>247</v>
      </c>
      <c r="B9" s="15">
        <f t="shared" si="514"/>
        <v>6</v>
      </c>
      <c r="C9" s="15">
        <v>22</v>
      </c>
      <c r="E9" s="15" t="s">
        <v>247</v>
      </c>
      <c r="F9" s="15">
        <f t="shared" si="515"/>
        <v>6</v>
      </c>
      <c r="G9" s="15">
        <v>22</v>
      </c>
      <c r="H9" s="15">
        <f t="shared" si="516"/>
        <v>22</v>
      </c>
      <c r="I9" s="15" t="e">
        <f t="shared" si="517"/>
        <v>#NAME?</v>
      </c>
      <c r="J9" s="15" t="e">
        <v>#NAME?</v>
      </c>
      <c r="K9" s="15">
        <f t="shared" si="518"/>
        <v>22</v>
      </c>
      <c r="L9" s="15"/>
      <c r="M9" s="15"/>
      <c r="N9" s="15"/>
      <c r="O9" s="15"/>
      <c r="P9" s="15"/>
      <c r="Q9" s="15"/>
      <c r="R9" s="15"/>
    </row>
    <row r="10">
      <c r="A10" s="15" t="s">
        <v>248</v>
      </c>
      <c r="B10" s="15">
        <f t="shared" si="514"/>
        <v>7</v>
      </c>
      <c r="C10" s="15">
        <v>14</v>
      </c>
      <c r="E10" s="15" t="s">
        <v>248</v>
      </c>
      <c r="F10" s="15">
        <f t="shared" si="515"/>
        <v>7</v>
      </c>
      <c r="G10" s="15">
        <v>14</v>
      </c>
      <c r="H10" s="15">
        <f t="shared" ref="H10:H19" si="519">IF(G10="","",G10)</f>
        <v>14</v>
      </c>
      <c r="I10" s="15" t="e">
        <f t="shared" ref="I10:I13" si="520">IF(H6="","",IF(H10="","",H10-H6))</f>
        <v>#NAME?</v>
      </c>
      <c r="J10" s="15" t="e">
        <v>#NAME?</v>
      </c>
      <c r="K10" s="15">
        <f t="shared" ref="K10:K13" si="521">IF(G10="",J10+K6,G10)</f>
        <v>14</v>
      </c>
      <c r="L10" s="15"/>
      <c r="M10" s="15"/>
      <c r="N10" s="15"/>
      <c r="O10" s="15"/>
      <c r="P10" s="15"/>
      <c r="Q10" s="15"/>
      <c r="R10" s="15"/>
    </row>
    <row r="11">
      <c r="A11" s="15" t="s">
        <v>249</v>
      </c>
      <c r="B11" s="15">
        <f t="shared" ref="B11:B19" si="522">B10+1</f>
        <v>8</v>
      </c>
      <c r="C11" s="15">
        <v>35</v>
      </c>
      <c r="E11" s="15" t="s">
        <v>249</v>
      </c>
      <c r="F11" s="15">
        <f t="shared" ref="F11:F19" si="523">F10+1</f>
        <v>8</v>
      </c>
      <c r="G11" s="15">
        <v>35</v>
      </c>
      <c r="H11" s="15">
        <f t="shared" si="519"/>
        <v>35</v>
      </c>
      <c r="I11" s="15" t="e">
        <f t="shared" si="520"/>
        <v>#NAME?</v>
      </c>
      <c r="J11" s="15" t="e">
        <v>#NAME?</v>
      </c>
      <c r="K11" s="15">
        <f t="shared" si="521"/>
        <v>35</v>
      </c>
      <c r="L11" s="15"/>
      <c r="M11" s="15"/>
      <c r="N11" s="15"/>
      <c r="O11" s="15"/>
      <c r="P11" s="15"/>
      <c r="Q11" s="15"/>
      <c r="R11" s="15"/>
    </row>
    <row r="12">
      <c r="A12" s="15" t="s">
        <v>250</v>
      </c>
      <c r="B12" s="15">
        <f t="shared" si="522"/>
        <v>9</v>
      </c>
      <c r="C12" s="15">
        <v>15</v>
      </c>
      <c r="E12" s="15" t="s">
        <v>250</v>
      </c>
      <c r="F12" s="15">
        <f t="shared" si="523"/>
        <v>9</v>
      </c>
      <c r="G12" s="15">
        <v>15</v>
      </c>
      <c r="H12" s="15">
        <f t="shared" si="519"/>
        <v>15</v>
      </c>
      <c r="I12" s="15">
        <f t="shared" si="520"/>
        <v>-1</v>
      </c>
      <c r="J12" s="15" t="e">
        <v>#NAME?</v>
      </c>
      <c r="K12" s="15">
        <f t="shared" si="521"/>
        <v>15</v>
      </c>
      <c r="L12" s="15"/>
      <c r="M12" s="15"/>
      <c r="N12" s="15"/>
      <c r="O12" s="15"/>
      <c r="P12" s="15"/>
      <c r="Q12" s="15"/>
      <c r="R12" s="15"/>
    </row>
    <row r="13">
      <c r="A13" s="15" t="s">
        <v>251</v>
      </c>
      <c r="B13" s="15">
        <f t="shared" si="522"/>
        <v>10</v>
      </c>
      <c r="C13" s="15">
        <v>27</v>
      </c>
      <c r="E13" s="15" t="s">
        <v>251</v>
      </c>
      <c r="F13" s="15">
        <f t="shared" si="523"/>
        <v>10</v>
      </c>
      <c r="G13" s="15"/>
      <c r="H13" s="15" t="str">
        <f t="shared" si="519"/>
        <v/>
      </c>
      <c r="I13" s="15" t="str">
        <f t="shared" si="520"/>
        <v/>
      </c>
      <c r="J13" s="15" t="e">
        <v>#NAME?</v>
      </c>
      <c r="K13" s="15" t="e">
        <f t="shared" si="521"/>
        <v>#NAME?</v>
      </c>
      <c r="L13" s="15"/>
      <c r="M13" s="15"/>
      <c r="N13" s="15"/>
      <c r="O13" s="15"/>
      <c r="P13" s="15"/>
      <c r="Q13" s="15"/>
      <c r="R13" s="15"/>
    </row>
    <row r="14">
      <c r="A14" s="15" t="s">
        <v>252</v>
      </c>
      <c r="B14" s="15">
        <f t="shared" si="522"/>
        <v>11</v>
      </c>
      <c r="C14" s="15">
        <v>18</v>
      </c>
      <c r="E14" s="15" t="s">
        <v>252</v>
      </c>
      <c r="F14" s="15">
        <f t="shared" si="523"/>
        <v>11</v>
      </c>
      <c r="G14" s="15"/>
      <c r="H14" s="15" t="str">
        <f t="shared" si="519"/>
        <v/>
      </c>
      <c r="I14" s="15" t="str">
        <f t="shared" ref="I14:I19" si="524">IF(H10="","",IF(H14="","",H14-H10))</f>
        <v/>
      </c>
      <c r="J14" s="15" t="e">
        <v>#NAME?</v>
      </c>
      <c r="K14" s="15" t="e">
        <f t="shared" ref="K14:K19" si="525">IF(G14="",J14+K10,G14)</f>
        <v>#NAME?</v>
      </c>
      <c r="L14" s="15"/>
      <c r="M14" s="15"/>
      <c r="N14" s="15"/>
      <c r="O14" s="15"/>
      <c r="P14" s="15"/>
      <c r="Q14" s="15"/>
      <c r="R14" s="15"/>
    </row>
    <row r="15">
      <c r="A15" s="15" t="s">
        <v>253</v>
      </c>
      <c r="B15" s="15">
        <f t="shared" si="522"/>
        <v>12</v>
      </c>
      <c r="C15" s="15">
        <v>40</v>
      </c>
      <c r="E15" s="15" t="s">
        <v>253</v>
      </c>
      <c r="F15" s="15">
        <f t="shared" si="523"/>
        <v>12</v>
      </c>
      <c r="G15" s="15">
        <v>40</v>
      </c>
      <c r="H15" s="15">
        <f t="shared" si="519"/>
        <v>40</v>
      </c>
      <c r="I15" s="15">
        <f t="shared" si="524"/>
        <v>5</v>
      </c>
      <c r="J15" s="15" t="e">
        <v>#NAME?</v>
      </c>
      <c r="K15" s="15">
        <f t="shared" si="525"/>
        <v>40</v>
      </c>
      <c r="L15" s="15"/>
      <c r="M15" s="15"/>
      <c r="N15" s="15"/>
      <c r="O15" s="15"/>
      <c r="P15" s="15"/>
      <c r="Q15" s="15"/>
      <c r="R15" s="15"/>
    </row>
    <row r="16">
      <c r="A16" s="15" t="s">
        <v>254</v>
      </c>
      <c r="B16" s="15">
        <f t="shared" si="522"/>
        <v>13</v>
      </c>
      <c r="C16" s="15">
        <v>28</v>
      </c>
      <c r="E16" s="15" t="s">
        <v>254</v>
      </c>
      <c r="F16" s="15">
        <f t="shared" si="523"/>
        <v>13</v>
      </c>
      <c r="G16" s="15">
        <v>28</v>
      </c>
      <c r="H16" s="15">
        <f t="shared" si="519"/>
        <v>28</v>
      </c>
      <c r="I16" s="15">
        <f t="shared" si="524"/>
        <v>13</v>
      </c>
      <c r="J16" s="15" t="e">
        <v>#NAME?</v>
      </c>
      <c r="K16" s="15">
        <f t="shared" si="525"/>
        <v>28</v>
      </c>
      <c r="L16" s="15"/>
      <c r="M16" s="15"/>
      <c r="N16" s="15"/>
      <c r="O16" s="15"/>
      <c r="P16" s="15"/>
      <c r="Q16" s="15"/>
      <c r="R16" s="15"/>
    </row>
    <row r="17">
      <c r="A17" s="15" t="s">
        <v>255</v>
      </c>
      <c r="B17" s="15">
        <f t="shared" si="522"/>
        <v>14</v>
      </c>
      <c r="C17" s="15">
        <v>40</v>
      </c>
      <c r="E17" s="15" t="s">
        <v>255</v>
      </c>
      <c r="F17" s="15">
        <f t="shared" si="523"/>
        <v>14</v>
      </c>
      <c r="G17" s="15">
        <v>40</v>
      </c>
      <c r="H17" s="15">
        <f t="shared" si="519"/>
        <v>40</v>
      </c>
      <c r="I17" s="15" t="str">
        <f t="shared" si="524"/>
        <v/>
      </c>
      <c r="J17" s="15" t="e">
        <v>#NAME?</v>
      </c>
      <c r="K17" s="15">
        <f t="shared" si="525"/>
        <v>40</v>
      </c>
      <c r="L17" s="15"/>
      <c r="M17" s="15"/>
      <c r="N17" s="15"/>
      <c r="O17" s="15"/>
      <c r="P17" s="15"/>
      <c r="Q17" s="15"/>
      <c r="R17" s="15"/>
    </row>
    <row r="18">
      <c r="A18" s="15" t="s">
        <v>256</v>
      </c>
      <c r="B18" s="15">
        <f t="shared" si="522"/>
        <v>15</v>
      </c>
      <c r="C18" s="15">
        <v>25</v>
      </c>
      <c r="E18" s="15" t="s">
        <v>256</v>
      </c>
      <c r="F18" s="15">
        <f t="shared" si="523"/>
        <v>15</v>
      </c>
      <c r="G18" s="15">
        <v>25</v>
      </c>
      <c r="H18" s="15">
        <f t="shared" si="519"/>
        <v>25</v>
      </c>
      <c r="I18" s="15" t="str">
        <f t="shared" si="524"/>
        <v/>
      </c>
      <c r="J18" s="15" t="e">
        <v>#NAME?</v>
      </c>
      <c r="K18" s="15">
        <f t="shared" si="525"/>
        <v>25</v>
      </c>
      <c r="L18" s="15"/>
      <c r="M18" s="15"/>
      <c r="N18" s="15"/>
      <c r="O18" s="15"/>
      <c r="P18" s="15"/>
      <c r="Q18" s="15"/>
      <c r="R18" s="15"/>
    </row>
    <row r="19">
      <c r="A19" s="17" t="s">
        <v>257</v>
      </c>
      <c r="B19" s="17">
        <f t="shared" si="522"/>
        <v>16</v>
      </c>
      <c r="C19" s="17">
        <v>65</v>
      </c>
      <c r="E19" s="17" t="s">
        <v>257</v>
      </c>
      <c r="F19" s="17">
        <f t="shared" si="523"/>
        <v>16</v>
      </c>
      <c r="G19" s="17"/>
      <c r="H19" s="17" t="str">
        <f t="shared" si="519"/>
        <v/>
      </c>
      <c r="I19" s="17" t="str">
        <f t="shared" si="524"/>
        <v/>
      </c>
      <c r="J19" s="17" t="e">
        <v>#NAME?</v>
      </c>
      <c r="K19" s="17" t="e">
        <f t="shared" si="525"/>
        <v>#NAME?</v>
      </c>
      <c r="L19" s="15"/>
      <c r="M19" s="15"/>
      <c r="N19" s="15"/>
      <c r="O19" s="15"/>
      <c r="P19" s="15"/>
      <c r="Q19" s="15"/>
      <c r="R19" s="15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26" max="26" width="9.4553569999999993"/>
  </cols>
  <sheetData>
    <row r="1">
      <c r="A1" s="52" t="s">
        <v>431</v>
      </c>
    </row>
    <row r="3">
      <c r="B3" s="4" t="s">
        <v>342</v>
      </c>
      <c r="C3" s="4" t="s">
        <v>343</v>
      </c>
      <c r="E3" s="4" t="s">
        <v>291</v>
      </c>
      <c r="F3" s="4" t="s">
        <v>292</v>
      </c>
      <c r="G3" s="4" t="s">
        <v>432</v>
      </c>
      <c r="Y3" s="4" t="s">
        <v>291</v>
      </c>
      <c r="Z3" s="4" t="s">
        <v>292</v>
      </c>
    </row>
    <row r="4">
      <c r="A4" s="15">
        <v>1</v>
      </c>
      <c r="B4">
        <v>-0.69785249480192335</v>
      </c>
      <c r="C4">
        <f>5+0.4*0+B4</f>
        <v>4.3021475051980804</v>
      </c>
      <c r="E4" s="15"/>
      <c r="Y4" s="15"/>
    </row>
    <row r="5">
      <c r="A5" s="15">
        <f t="shared" ref="A5:A10" si="526">A4+1</f>
        <v>2</v>
      </c>
      <c r="B5">
        <v>-0.57784409098609935</v>
      </c>
      <c r="C5">
        <f t="shared" ref="C5:C9" si="527">5+0.4*C4+B5</f>
        <v>6.1430149110931298</v>
      </c>
      <c r="E5" s="15">
        <v>1</v>
      </c>
      <c r="F5" s="5" t="e">
        <v>#NAME?</v>
      </c>
      <c r="G5" s="6">
        <f t="shared" ref="G5:G9" si="528">0.4^E5</f>
        <v>0.40000000000000002</v>
      </c>
      <c r="Y5" s="15">
        <v>1</v>
      </c>
      <c r="Z5" s="7">
        <f t="shared" ref="Z5:Z9" ca="1" si="529">SUMPRODUCT(OFFSET($C$4:$C$103,0,0,COUNT($C$4:$C$103)-Y5)-AVERAGE($C$4:$C$103),OFFSET($C$4:$C$103,Y5,0,COUNT($C$4:$C$103)-Y5)-AVERAGE($C$4:$C$103))/DEVSQ($C$4:$C$103)</f>
        <v>0.39437108360082485</v>
      </c>
    </row>
    <row r="6">
      <c r="A6" s="15">
        <f t="shared" si="526"/>
        <v>3</v>
      </c>
      <c r="B6">
        <v>-1.1112486969478823</v>
      </c>
      <c r="C6">
        <f t="shared" si="527"/>
        <v>6.3459572674893696</v>
      </c>
      <c r="E6" s="15">
        <f t="shared" ref="E6:E10" si="530">E5+1</f>
        <v>2</v>
      </c>
      <c r="F6" s="8" t="e">
        <v>#NAME?</v>
      </c>
      <c r="G6" s="9">
        <f t="shared" si="528"/>
        <v>0.16</v>
      </c>
      <c r="Y6" s="15">
        <f t="shared" ref="Y6:Y10" si="531">Y5+1</f>
        <v>2</v>
      </c>
      <c r="Z6" s="10">
        <f t="shared" ca="1" si="529"/>
        <v>0.15840974163405824</v>
      </c>
    </row>
    <row r="7">
      <c r="A7" s="15">
        <f t="shared" si="526"/>
        <v>4</v>
      </c>
      <c r="B7">
        <v>-0.56033359170276131</v>
      </c>
      <c r="C7">
        <f t="shared" si="527"/>
        <v>6.9780493152929903</v>
      </c>
      <c r="E7" s="15">
        <f t="shared" si="530"/>
        <v>3</v>
      </c>
      <c r="F7" s="8" t="e">
        <v>#NAME?</v>
      </c>
      <c r="G7" s="9">
        <f t="shared" si="528"/>
        <v>6.4000000000000001e-02</v>
      </c>
      <c r="Y7" s="15">
        <f t="shared" si="531"/>
        <v>3</v>
      </c>
      <c r="Z7" s="10">
        <f t="shared" ca="1" si="529"/>
        <v>3.4080638684070692e-02</v>
      </c>
    </row>
    <row r="8">
      <c r="A8" s="15">
        <f t="shared" si="526"/>
        <v>5</v>
      </c>
      <c r="B8">
        <v>1.6565339753336528</v>
      </c>
      <c r="C8">
        <f t="shared" si="527"/>
        <v>9.4477537014508499</v>
      </c>
      <c r="E8" s="15">
        <f t="shared" si="530"/>
        <v>4</v>
      </c>
      <c r="F8" s="8" t="e">
        <v>#NAME?</v>
      </c>
      <c r="G8" s="9">
        <f t="shared" si="528"/>
        <v>2.5600000000000001e-02</v>
      </c>
      <c r="Y8" s="15">
        <f t="shared" si="531"/>
        <v>4</v>
      </c>
      <c r="Z8" s="10">
        <f t="shared" ca="1" si="529"/>
        <v>-0.17672085115113614</v>
      </c>
    </row>
    <row r="9">
      <c r="A9" s="15">
        <f t="shared" si="526"/>
        <v>6</v>
      </c>
      <c r="B9">
        <v>-0.41484923591072331</v>
      </c>
      <c r="C9">
        <f t="shared" si="527"/>
        <v>8.3642522446696201</v>
      </c>
      <c r="E9" s="15">
        <f t="shared" si="530"/>
        <v>5</v>
      </c>
      <c r="F9" s="8" t="e">
        <v>#NAME?</v>
      </c>
      <c r="G9" s="9">
        <f t="shared" si="528"/>
        <v>1.0240000000000001e-02</v>
      </c>
      <c r="Y9" s="15">
        <f t="shared" si="531"/>
        <v>5</v>
      </c>
      <c r="Z9" s="10">
        <f t="shared" ca="1" si="529"/>
        <v>-4.4096354642670338e-02</v>
      </c>
    </row>
    <row r="10">
      <c r="A10" s="15">
        <f t="shared" si="526"/>
        <v>7</v>
      </c>
      <c r="B10">
        <v>-1.274931208283298</v>
      </c>
      <c r="C10">
        <f>5+0.4*C9+B10</f>
        <v>7.0707696895845498</v>
      </c>
      <c r="E10" s="15">
        <f t="shared" si="530"/>
        <v>6</v>
      </c>
      <c r="F10" s="8" t="e">
        <v>#NAME?</v>
      </c>
      <c r="G10" s="9">
        <f t="shared" ref="G10:G19" si="532">0.4^E10</f>
        <v>4.0959999999999998e-03</v>
      </c>
      <c r="Y10" s="15">
        <f t="shared" si="531"/>
        <v>6</v>
      </c>
      <c r="Z10" s="10">
        <f t="shared" ref="Z10:Z19" ca="1" si="533">SUMPRODUCT(OFFSET($C$4:$C$103,0,0,COUNT($C$4:$C$103)-Y10)-AVERAGE($C$4:$C$103),OFFSET($C$4:$C$103,Y10,0,COUNT($C$4:$C$103)-Y10)-AVERAGE($C$4:$C$103))/DEVSQ($C$4:$C$103)</f>
        <v>4.4618058059970121e-02</v>
      </c>
    </row>
    <row r="11">
      <c r="A11" s="15">
        <f t="shared" ref="A11:A74" si="534">A10+1</f>
        <v>8</v>
      </c>
      <c r="B11">
        <v>-0.80593538272356324</v>
      </c>
      <c r="C11">
        <f t="shared" ref="C11:C74" si="535">5+0.4*C10+B11</f>
        <v>7.02237249311026</v>
      </c>
      <c r="E11" s="15">
        <f t="shared" ref="E11:E19" si="536">E10+1</f>
        <v>7</v>
      </c>
      <c r="F11" s="8" t="e">
        <v>#NAME?</v>
      </c>
      <c r="G11" s="9">
        <f t="shared" si="532"/>
        <v>1.6383999999999999e-03</v>
      </c>
      <c r="Y11" s="15">
        <f t="shared" ref="Y11:Y19" si="537">Y10+1</f>
        <v>7</v>
      </c>
      <c r="Z11" s="10">
        <f t="shared" ca="1" si="533"/>
        <v>4.6570100611285671e-02</v>
      </c>
    </row>
    <row r="12">
      <c r="A12" s="15">
        <f t="shared" si="534"/>
        <v>9</v>
      </c>
      <c r="B12">
        <v>-0.17954155743882044</v>
      </c>
      <c r="C12">
        <f t="shared" si="535"/>
        <v>7.6294074398052798</v>
      </c>
      <c r="E12" s="15">
        <f t="shared" si="536"/>
        <v>8</v>
      </c>
      <c r="F12" s="8" t="e">
        <v>#NAME?</v>
      </c>
      <c r="G12" s="9">
        <f t="shared" si="532"/>
        <v>6.5535999999999991e-04</v>
      </c>
      <c r="Y12" s="15">
        <f t="shared" si="537"/>
        <v>8</v>
      </c>
      <c r="Z12" s="10">
        <f t="shared" ca="1" si="533"/>
        <v>7.7240784861657599e-02</v>
      </c>
    </row>
    <row r="13">
      <c r="A13" s="15">
        <f t="shared" si="534"/>
        <v>10</v>
      </c>
      <c r="B13">
        <v>-0.60002179872810935</v>
      </c>
      <c r="C13">
        <f t="shared" si="535"/>
        <v>7.4517411771940001</v>
      </c>
      <c r="E13" s="15">
        <f t="shared" si="536"/>
        <v>9</v>
      </c>
      <c r="F13" s="8" t="e">
        <v>#NAME?</v>
      </c>
      <c r="G13" s="9">
        <f t="shared" si="532"/>
        <v>2.6214399999999996e-04</v>
      </c>
      <c r="Y13" s="15">
        <f t="shared" si="537"/>
        <v>9</v>
      </c>
      <c r="Z13" s="10">
        <f t="shared" ca="1" si="533"/>
        <v>8.3525235379419832e-02</v>
      </c>
    </row>
    <row r="14">
      <c r="A14" s="15">
        <f t="shared" si="534"/>
        <v>11</v>
      </c>
      <c r="B14">
        <v>-0.66763333953713522</v>
      </c>
      <c r="C14">
        <f t="shared" si="535"/>
        <v>7.3130631313404697</v>
      </c>
      <c r="E14" s="15">
        <f t="shared" si="536"/>
        <v>10</v>
      </c>
      <c r="F14" s="8" t="e">
        <v>#NAME?</v>
      </c>
      <c r="G14" s="9">
        <f t="shared" si="532"/>
        <v>1.0485759999999999e-04</v>
      </c>
      <c r="Y14" s="15">
        <f t="shared" si="537"/>
        <v>10</v>
      </c>
      <c r="Z14" s="10">
        <f t="shared" ca="1" si="533"/>
        <v>-0.10317251689534918</v>
      </c>
    </row>
    <row r="15">
      <c r="A15" s="15">
        <f t="shared" si="534"/>
        <v>12</v>
      </c>
      <c r="B15">
        <v>-1.1882740654292401</v>
      </c>
      <c r="C15">
        <f t="shared" si="535"/>
        <v>6.7369511871069498</v>
      </c>
      <c r="E15" s="15">
        <f t="shared" si="536"/>
        <v>11</v>
      </c>
      <c r="F15" s="8" t="e">
        <v>#NAME?</v>
      </c>
      <c r="G15" s="9">
        <f t="shared" si="532"/>
        <v>4.1943039999999991e-05</v>
      </c>
      <c r="Y15" s="15">
        <f t="shared" si="537"/>
        <v>11</v>
      </c>
      <c r="Z15" s="10">
        <f t="shared" ca="1" si="533"/>
        <v>-0.13043408946525256</v>
      </c>
    </row>
    <row r="16">
      <c r="A16" s="15">
        <f t="shared" si="534"/>
        <v>13</v>
      </c>
      <c r="B16">
        <v>-5.9362987216999438e-02</v>
      </c>
      <c r="C16">
        <f t="shared" si="535"/>
        <v>7.6354174876257801</v>
      </c>
      <c r="E16" s="15">
        <f t="shared" si="536"/>
        <v>12</v>
      </c>
      <c r="F16" s="8" t="e">
        <v>#NAME?</v>
      </c>
      <c r="G16" s="9">
        <f t="shared" si="532"/>
        <v>1.6777215999999996e-05</v>
      </c>
      <c r="Y16" s="15">
        <f t="shared" si="537"/>
        <v>12</v>
      </c>
      <c r="Z16" s="10">
        <f t="shared" ca="1" si="533"/>
        <v>-0.14120536086333427</v>
      </c>
    </row>
    <row r="17">
      <c r="A17" s="15">
        <f t="shared" si="534"/>
        <v>14</v>
      </c>
      <c r="B17">
        <v>0.2800890126112825</v>
      </c>
      <c r="C17">
        <f t="shared" si="535"/>
        <v>8.3342560076615904</v>
      </c>
      <c r="E17" s="15">
        <f t="shared" si="536"/>
        <v>13</v>
      </c>
      <c r="F17" s="8" t="e">
        <v>#NAME?</v>
      </c>
      <c r="G17" s="9">
        <f t="shared" si="532"/>
        <v>6.7108864000000036e-06</v>
      </c>
      <c r="Y17" s="15">
        <f t="shared" si="537"/>
        <v>13</v>
      </c>
      <c r="Z17" s="10">
        <f t="shared" ca="1" si="533"/>
        <v>-8.1483379619503499e-02</v>
      </c>
    </row>
    <row r="18">
      <c r="A18" s="15">
        <f t="shared" si="534"/>
        <v>15</v>
      </c>
      <c r="B18">
        <v>0.18047523554544689</v>
      </c>
      <c r="C18">
        <f t="shared" si="535"/>
        <v>8.5141776386100894</v>
      </c>
      <c r="E18" s="15">
        <f t="shared" si="536"/>
        <v>14</v>
      </c>
      <c r="F18" s="8" t="e">
        <v>#NAME?</v>
      </c>
      <c r="G18" s="9">
        <f t="shared" si="532"/>
        <v>2.6843545600000021e-06</v>
      </c>
      <c r="Y18" s="15">
        <f t="shared" si="537"/>
        <v>14</v>
      </c>
      <c r="Z18" s="10">
        <f t="shared" ca="1" si="533"/>
        <v>-4.2365988683895255e-03</v>
      </c>
    </row>
    <row r="19">
      <c r="A19" s="15">
        <f t="shared" si="534"/>
        <v>16</v>
      </c>
      <c r="B19">
        <v>1.0704437186023568</v>
      </c>
      <c r="C19">
        <f t="shared" si="535"/>
        <v>9.4761147740463993</v>
      </c>
      <c r="E19" s="15">
        <f t="shared" si="536"/>
        <v>15</v>
      </c>
      <c r="F19" s="11" t="e">
        <v>#NAME?</v>
      </c>
      <c r="G19" s="12">
        <f t="shared" si="532"/>
        <v>1.0737418240000009e-06</v>
      </c>
      <c r="Y19" s="15">
        <f t="shared" si="537"/>
        <v>15</v>
      </c>
      <c r="Z19" s="13">
        <f t="shared" ca="1" si="533"/>
        <v>8.9675849789373305e-02</v>
      </c>
    </row>
    <row r="20">
      <c r="A20" s="15">
        <f t="shared" si="534"/>
        <v>17</v>
      </c>
      <c r="B20">
        <v>-0.34072311283254125</v>
      </c>
      <c r="C20">
        <f t="shared" si="535"/>
        <v>8.4497227967860198</v>
      </c>
      <c r="E20" s="15"/>
      <c r="Y20" s="15"/>
    </row>
    <row r="21" ht="15">
      <c r="A21" s="15">
        <f t="shared" si="534"/>
        <v>18</v>
      </c>
      <c r="B21">
        <v>1.1245741006977239</v>
      </c>
      <c r="C21">
        <f t="shared" si="535"/>
        <v>9.5044632194121306</v>
      </c>
      <c r="E21" s="15" t="s">
        <v>433</v>
      </c>
      <c r="F21" s="7">
        <f>5/(1-0.4)</f>
        <v>8.3333333333333393</v>
      </c>
      <c r="H21" s="15" t="s">
        <v>434</v>
      </c>
      <c r="I21" s="7">
        <f>AVERAGE(C4:C103)</f>
        <v>8.2275470269258193</v>
      </c>
      <c r="Z21" s="53"/>
    </row>
    <row r="22">
      <c r="A22" s="15">
        <f t="shared" si="534"/>
        <v>19</v>
      </c>
      <c r="B22">
        <v>-2.1341842125122983</v>
      </c>
      <c r="C22">
        <f t="shared" si="535"/>
        <v>6.6676010752525503</v>
      </c>
      <c r="E22" s="15" t="s">
        <v>435</v>
      </c>
      <c r="F22" s="13">
        <f>1^2/(1-0.4^2)</f>
        <v>1.19047619047619</v>
      </c>
      <c r="H22" s="15" t="s">
        <v>436</v>
      </c>
      <c r="I22" s="13">
        <f>VAR(C4:C103)</f>
        <v>1.7005473095528201</v>
      </c>
    </row>
    <row r="23">
      <c r="A23" s="15">
        <f t="shared" si="534"/>
        <v>20</v>
      </c>
      <c r="B23">
        <v>0.18527521137964742</v>
      </c>
      <c r="C23">
        <f t="shared" si="535"/>
        <v>7.8523156414806703</v>
      </c>
    </row>
    <row r="24" ht="15" customHeight="1">
      <c r="A24" s="15">
        <f t="shared" si="534"/>
        <v>21</v>
      </c>
      <c r="B24">
        <v>-0.2220638394273014</v>
      </c>
      <c r="C24">
        <f t="shared" si="535"/>
        <v>7.91886241716497</v>
      </c>
      <c r="E24" s="15" t="s">
        <v>437</v>
      </c>
      <c r="F24" s="18">
        <f>VARP(B4:B103)</f>
        <v>1.2706033763345901</v>
      </c>
    </row>
    <row r="25">
      <c r="A25" s="15">
        <f t="shared" si="534"/>
        <v>22</v>
      </c>
      <c r="B25">
        <v>0.60504116436601907</v>
      </c>
      <c r="C25">
        <f t="shared" si="535"/>
        <v>8.7725861312320106</v>
      </c>
      <c r="E25" s="15"/>
    </row>
    <row r="26" ht="15" customHeight="1">
      <c r="A26" s="15">
        <f t="shared" si="534"/>
        <v>23</v>
      </c>
      <c r="B26">
        <v>2.4090628953263198</v>
      </c>
      <c r="C26">
        <f t="shared" si="535"/>
        <v>10.918097347819099</v>
      </c>
    </row>
    <row r="27">
      <c r="A27" s="15">
        <f t="shared" si="534"/>
        <v>24</v>
      </c>
      <c r="B27">
        <v>-0.22785690261685324</v>
      </c>
      <c r="C27">
        <f t="shared" si="535"/>
        <v>9.1393820365107903</v>
      </c>
      <c r="E27" s="15"/>
    </row>
    <row r="28">
      <c r="A28" s="15">
        <f t="shared" si="534"/>
        <v>25</v>
      </c>
      <c r="B28">
        <v>1.4933040877872452</v>
      </c>
      <c r="C28">
        <f t="shared" si="535"/>
        <v>10.1490569023916</v>
      </c>
      <c r="E28" s="15"/>
      <c r="Y28" s="15"/>
    </row>
    <row r="29">
      <c r="A29" s="15">
        <f t="shared" si="534"/>
        <v>26</v>
      </c>
      <c r="B29">
        <v>0.71349407818724175</v>
      </c>
      <c r="C29">
        <f t="shared" si="535"/>
        <v>9.7731168391438796</v>
      </c>
      <c r="E29" s="15"/>
      <c r="Y29" s="15"/>
    </row>
    <row r="30">
      <c r="A30" s="15">
        <f t="shared" si="534"/>
        <v>27</v>
      </c>
      <c r="B30">
        <v>-0.76524343436916198</v>
      </c>
      <c r="C30">
        <f t="shared" si="535"/>
        <v>8.1440033012883895</v>
      </c>
      <c r="E30" s="15"/>
      <c r="Y30" s="15"/>
    </row>
    <row r="31">
      <c r="A31" s="15">
        <f t="shared" si="534"/>
        <v>28</v>
      </c>
      <c r="B31">
        <v>-1.41910094409001</v>
      </c>
      <c r="C31">
        <f t="shared" si="535"/>
        <v>6.8385003764253502</v>
      </c>
      <c r="E31" s="15"/>
      <c r="Y31" s="15"/>
    </row>
    <row r="32">
      <c r="A32" s="15">
        <f t="shared" si="534"/>
        <v>29</v>
      </c>
      <c r="B32">
        <v>1.4740369863748077</v>
      </c>
      <c r="C32">
        <f t="shared" si="535"/>
        <v>9.2094371369449508</v>
      </c>
      <c r="E32" s="15"/>
      <c r="Y32" s="15"/>
    </row>
    <row r="33">
      <c r="A33" s="15">
        <f t="shared" si="534"/>
        <v>30</v>
      </c>
      <c r="B33">
        <v>0.15337369729432532</v>
      </c>
      <c r="C33">
        <f t="shared" si="535"/>
        <v>8.8371485520723105</v>
      </c>
      <c r="E33" s="15"/>
      <c r="Y33" s="15"/>
    </row>
    <row r="34">
      <c r="A34" s="15">
        <f t="shared" si="534"/>
        <v>31</v>
      </c>
      <c r="B34">
        <v>-0.91392995787539277</v>
      </c>
      <c r="C34">
        <f t="shared" si="535"/>
        <v>7.6209294629535398</v>
      </c>
      <c r="E34" s="15"/>
      <c r="Y34" s="15"/>
    </row>
    <row r="35">
      <c r="A35" s="15">
        <f t="shared" si="534"/>
        <v>32</v>
      </c>
      <c r="B35">
        <v>-0.25821378573000997</v>
      </c>
      <c r="C35">
        <f t="shared" si="535"/>
        <v>7.7901579994514103</v>
      </c>
      <c r="E35" s="15"/>
      <c r="Y35" s="15"/>
    </row>
    <row r="36">
      <c r="A36" s="15">
        <f t="shared" si="534"/>
        <v>33</v>
      </c>
      <c r="B36">
        <v>-0.49661123146611519</v>
      </c>
      <c r="C36">
        <f t="shared" si="535"/>
        <v>7.6194519683144497</v>
      </c>
      <c r="E36" s="15"/>
      <c r="Y36" s="15"/>
    </row>
    <row r="37">
      <c r="A37" s="15">
        <f t="shared" si="534"/>
        <v>34</v>
      </c>
      <c r="B37">
        <v>1.0801200937235271</v>
      </c>
      <c r="C37">
        <f t="shared" si="535"/>
        <v>9.1279008810493103</v>
      </c>
      <c r="E37" s="15"/>
      <c r="Y37" s="15"/>
    </row>
    <row r="38">
      <c r="A38" s="15">
        <f t="shared" si="534"/>
        <v>35</v>
      </c>
      <c r="B38">
        <v>0.62769726735219566</v>
      </c>
      <c r="C38">
        <f t="shared" si="535"/>
        <v>9.2788576197719195</v>
      </c>
      <c r="E38" s="15"/>
      <c r="Y38" s="15"/>
    </row>
    <row r="39">
      <c r="A39" s="15">
        <f t="shared" si="534"/>
        <v>36</v>
      </c>
      <c r="B39">
        <v>-4.7183894609775658e-02</v>
      </c>
      <c r="C39">
        <f t="shared" si="535"/>
        <v>8.6643591532989994</v>
      </c>
      <c r="E39" s="15"/>
      <c r="Y39" s="15"/>
    </row>
    <row r="40">
      <c r="A40" s="15">
        <f t="shared" si="534"/>
        <v>37</v>
      </c>
      <c r="B40">
        <v>1.2597876850887306</v>
      </c>
      <c r="C40">
        <f t="shared" si="535"/>
        <v>9.7255313464083297</v>
      </c>
      <c r="E40" s="15"/>
      <c r="Y40" s="15"/>
    </row>
    <row r="41">
      <c r="A41" s="15">
        <f t="shared" si="534"/>
        <v>38</v>
      </c>
      <c r="B41">
        <v>2.5165584473214784</v>
      </c>
      <c r="C41">
        <f t="shared" si="535"/>
        <v>11.406770985884799</v>
      </c>
      <c r="E41" s="15"/>
      <c r="Y41" s="15"/>
    </row>
    <row r="42">
      <c r="A42" s="15">
        <f t="shared" si="534"/>
        <v>39</v>
      </c>
      <c r="B42">
        <v>0.27095358748665704</v>
      </c>
      <c r="C42">
        <f t="shared" si="535"/>
        <v>9.8336619818405797</v>
      </c>
      <c r="E42" s="15"/>
      <c r="Y42" s="15"/>
    </row>
    <row r="43">
      <c r="A43" s="15">
        <f t="shared" si="534"/>
        <v>40</v>
      </c>
      <c r="B43">
        <v>-0.47142727098497039</v>
      </c>
      <c r="C43">
        <f t="shared" si="535"/>
        <v>8.4620375217512596</v>
      </c>
      <c r="E43" s="15"/>
      <c r="Y43" s="15"/>
    </row>
    <row r="44">
      <c r="A44" s="15">
        <f t="shared" si="534"/>
        <v>41</v>
      </c>
      <c r="B44">
        <v>-1.3509821338183614</v>
      </c>
      <c r="C44">
        <f t="shared" si="535"/>
        <v>7.0338328748821404</v>
      </c>
      <c r="E44" s="15"/>
      <c r="Y44" s="15"/>
    </row>
    <row r="45">
      <c r="A45" s="15">
        <f t="shared" si="534"/>
        <v>42</v>
      </c>
      <c r="B45">
        <v>-0.52523357627441403</v>
      </c>
      <c r="C45">
        <f t="shared" si="535"/>
        <v>7.2882995736784499</v>
      </c>
      <c r="E45" s="15"/>
      <c r="Y45" s="15"/>
    </row>
    <row r="46">
      <c r="A46" s="15">
        <f t="shared" si="534"/>
        <v>43</v>
      </c>
      <c r="B46">
        <v>0.9713555761936753</v>
      </c>
      <c r="C46">
        <f t="shared" si="535"/>
        <v>8.8866754056650592</v>
      </c>
      <c r="E46" s="15"/>
      <c r="Y46" s="15"/>
    </row>
    <row r="47">
      <c r="A47" s="15">
        <f t="shared" si="534"/>
        <v>44</v>
      </c>
      <c r="B47">
        <v>-1.0748501156519588</v>
      </c>
      <c r="C47">
        <f t="shared" si="535"/>
        <v>7.4798200466140603</v>
      </c>
      <c r="E47" s="15"/>
      <c r="Y47" s="15"/>
    </row>
    <row r="48">
      <c r="A48" s="15">
        <f t="shared" si="534"/>
        <v>45</v>
      </c>
      <c r="B48">
        <v>1.7738103479768892</v>
      </c>
      <c r="C48">
        <f t="shared" si="535"/>
        <v>9.7657383666225108</v>
      </c>
      <c r="E48" s="15"/>
      <c r="Y48" s="15"/>
    </row>
    <row r="49">
      <c r="A49" s="15">
        <f t="shared" si="534"/>
        <v>46</v>
      </c>
      <c r="B49">
        <v>-0.96159497995241305</v>
      </c>
      <c r="C49">
        <f t="shared" si="535"/>
        <v>7.9447003666966003</v>
      </c>
      <c r="E49" s="15"/>
      <c r="Y49" s="15"/>
    </row>
    <row r="50">
      <c r="A50" s="15">
        <f t="shared" si="534"/>
        <v>47</v>
      </c>
      <c r="B50">
        <v>-1.3487968912158848</v>
      </c>
      <c r="C50">
        <f t="shared" si="535"/>
        <v>6.8290832554627601</v>
      </c>
      <c r="E50" s="15"/>
      <c r="Y50" s="15"/>
    </row>
    <row r="51">
      <c r="A51" s="15">
        <f t="shared" si="534"/>
        <v>48</v>
      </c>
      <c r="B51">
        <v>0.18934575003145279</v>
      </c>
      <c r="C51">
        <f t="shared" si="535"/>
        <v>7.9209790522165502</v>
      </c>
      <c r="E51" s="15"/>
      <c r="Y51" s="15"/>
    </row>
    <row r="52">
      <c r="A52" s="15">
        <f t="shared" si="534"/>
        <v>49</v>
      </c>
      <c r="B52">
        <v>-2.2171935642462177</v>
      </c>
      <c r="C52">
        <f t="shared" si="535"/>
        <v>5.9511980566403997</v>
      </c>
      <c r="E52" s="15"/>
      <c r="Y52" s="15"/>
    </row>
    <row r="53">
      <c r="A53" s="15">
        <f t="shared" si="534"/>
        <v>50</v>
      </c>
      <c r="B53">
        <v>-0.15611584341500756</v>
      </c>
      <c r="C53">
        <f t="shared" si="535"/>
        <v>7.2243633792411499</v>
      </c>
      <c r="E53" s="15"/>
      <c r="Y53" s="15"/>
    </row>
    <row r="54">
      <c r="A54" s="15">
        <f t="shared" si="534"/>
        <v>51</v>
      </c>
      <c r="B54">
        <v>0.1487533713317542</v>
      </c>
      <c r="C54">
        <f t="shared" si="535"/>
        <v>8.0384987230282192</v>
      </c>
      <c r="E54" s="15"/>
      <c r="Y54" s="15"/>
    </row>
    <row r="55">
      <c r="A55" s="15">
        <f t="shared" si="534"/>
        <v>52</v>
      </c>
      <c r="B55">
        <v>-0.47544656135152208</v>
      </c>
      <c r="C55">
        <f t="shared" si="535"/>
        <v>7.7399529278597701</v>
      </c>
      <c r="E55" s="15"/>
      <c r="Y55" s="15"/>
    </row>
    <row r="56">
      <c r="A56" s="15">
        <f t="shared" si="534"/>
        <v>53</v>
      </c>
      <c r="B56">
        <v>0.85919497639068365</v>
      </c>
      <c r="C56">
        <f t="shared" si="535"/>
        <v>8.9551761475345995</v>
      </c>
      <c r="E56" s="15"/>
      <c r="Y56" s="15"/>
    </row>
    <row r="57">
      <c r="A57" s="15">
        <f t="shared" si="534"/>
        <v>54</v>
      </c>
      <c r="B57">
        <v>1.3246162518823315</v>
      </c>
      <c r="C57">
        <f t="shared" si="535"/>
        <v>9.9066867108961691</v>
      </c>
      <c r="E57" s="15"/>
      <c r="Y57" s="15"/>
    </row>
    <row r="58">
      <c r="A58" s="15">
        <f t="shared" si="534"/>
        <v>55</v>
      </c>
      <c r="B58">
        <v>1.2039291261462839</v>
      </c>
      <c r="C58">
        <f t="shared" si="535"/>
        <v>10.1666038105048</v>
      </c>
      <c r="E58" s="15"/>
      <c r="Y58" s="15"/>
    </row>
    <row r="59">
      <c r="A59" s="15">
        <f t="shared" si="534"/>
        <v>56</v>
      </c>
      <c r="B59">
        <v>4.9959592389363879e-02</v>
      </c>
      <c r="C59">
        <f t="shared" si="535"/>
        <v>9.1166011165912906</v>
      </c>
      <c r="E59" s="15"/>
      <c r="Y59" s="15"/>
    </row>
    <row r="60">
      <c r="A60" s="15">
        <f t="shared" si="534"/>
        <v>57</v>
      </c>
      <c r="B60">
        <v>-1.1481030425994976</v>
      </c>
      <c r="C60">
        <f t="shared" si="535"/>
        <v>7.4985374040370196</v>
      </c>
      <c r="E60" s="15"/>
      <c r="Y60" s="15"/>
    </row>
    <row r="61">
      <c r="A61" s="15">
        <f t="shared" si="534"/>
        <v>58</v>
      </c>
      <c r="B61">
        <v>-1.2999610098507186</v>
      </c>
      <c r="C61">
        <f t="shared" si="535"/>
        <v>6.6994539517640899</v>
      </c>
      <c r="E61" s="15"/>
      <c r="Y61" s="15"/>
    </row>
    <row r="62">
      <c r="A62" s="15">
        <f t="shared" si="534"/>
        <v>59</v>
      </c>
      <c r="B62">
        <v>2.3091411480625057</v>
      </c>
      <c r="C62">
        <f t="shared" si="535"/>
        <v>9.9889227287681503</v>
      </c>
      <c r="E62" s="15"/>
      <c r="Y62" s="15"/>
    </row>
    <row r="63">
      <c r="A63" s="15">
        <f t="shared" si="534"/>
        <v>60</v>
      </c>
      <c r="B63">
        <v>-0.42761844974413882</v>
      </c>
      <c r="C63">
        <f t="shared" si="535"/>
        <v>8.5679506417631206</v>
      </c>
      <c r="E63" s="15"/>
      <c r="Y63" s="15"/>
    </row>
    <row r="64">
      <c r="A64" s="15">
        <f t="shared" si="534"/>
        <v>61</v>
      </c>
      <c r="B64">
        <v>2.7134767554812287</v>
      </c>
      <c r="C64">
        <f t="shared" si="535"/>
        <v>11.1406570121865</v>
      </c>
      <c r="E64" s="15"/>
      <c r="Y64" s="15"/>
    </row>
    <row r="65">
      <c r="A65" s="15">
        <f t="shared" si="534"/>
        <v>62</v>
      </c>
      <c r="B65">
        <v>1.4055530411870727</v>
      </c>
      <c r="C65">
        <f t="shared" si="535"/>
        <v>10.861815846061701</v>
      </c>
      <c r="E65" s="15"/>
      <c r="Y65" s="15"/>
    </row>
    <row r="66">
      <c r="A66" s="15">
        <f t="shared" si="534"/>
        <v>63</v>
      </c>
      <c r="B66">
        <v>-2.3970970128170639</v>
      </c>
      <c r="C66">
        <f t="shared" si="535"/>
        <v>6.94762932560762</v>
      </c>
      <c r="E66" s="15"/>
      <c r="Y66" s="15"/>
    </row>
    <row r="67">
      <c r="A67" s="15">
        <f t="shared" si="534"/>
        <v>64</v>
      </c>
      <c r="B67">
        <v>-1.3982167784378965</v>
      </c>
      <c r="C67">
        <f t="shared" si="535"/>
        <v>6.3808349518051504</v>
      </c>
      <c r="E67" s="15"/>
      <c r="Y67" s="15"/>
    </row>
    <row r="68">
      <c r="A68" s="15">
        <f t="shared" si="534"/>
        <v>65</v>
      </c>
      <c r="B68">
        <v>1.5203453639068958</v>
      </c>
      <c r="C68">
        <f t="shared" si="535"/>
        <v>9.0726793446289609</v>
      </c>
      <c r="E68" s="15"/>
      <c r="Y68" s="15"/>
    </row>
    <row r="69">
      <c r="A69" s="15">
        <f t="shared" si="534"/>
        <v>66</v>
      </c>
      <c r="B69">
        <v>-1.796693354333766</v>
      </c>
      <c r="C69">
        <f t="shared" si="535"/>
        <v>6.8323783835178098</v>
      </c>
      <c r="E69" s="15"/>
      <c r="Y69" s="15"/>
    </row>
    <row r="70">
      <c r="A70" s="15">
        <f t="shared" si="534"/>
        <v>67</v>
      </c>
      <c r="B70">
        <v>-0.38337016660247258</v>
      </c>
      <c r="C70">
        <f t="shared" si="535"/>
        <v>7.3495811868046497</v>
      </c>
      <c r="E70" s="15"/>
      <c r="Y70" s="15"/>
    </row>
    <row r="71">
      <c r="A71" s="15">
        <f t="shared" si="534"/>
        <v>68</v>
      </c>
      <c r="B71">
        <v>0.7237406021617061</v>
      </c>
      <c r="C71">
        <f t="shared" si="535"/>
        <v>8.6635730768835693</v>
      </c>
      <c r="E71" s="15"/>
      <c r="Y71" s="15"/>
    </row>
    <row r="72">
      <c r="A72" s="15">
        <f t="shared" si="534"/>
        <v>69</v>
      </c>
      <c r="B72">
        <v>0.15450598594324802</v>
      </c>
      <c r="C72">
        <f t="shared" si="535"/>
        <v>8.6199352166966801</v>
      </c>
      <c r="E72" s="15"/>
      <c r="Y72" s="15"/>
    </row>
    <row r="73">
      <c r="A73" s="15">
        <f t="shared" si="534"/>
        <v>70</v>
      </c>
      <c r="B73">
        <v>0.63496088513469295</v>
      </c>
      <c r="C73">
        <f t="shared" si="535"/>
        <v>9.0829349718133603</v>
      </c>
      <c r="E73" s="15"/>
      <c r="Y73" s="15"/>
    </row>
    <row r="74">
      <c r="A74" s="15">
        <f t="shared" si="534"/>
        <v>71</v>
      </c>
      <c r="B74">
        <v>0.54648580305162842</v>
      </c>
      <c r="C74">
        <f t="shared" si="535"/>
        <v>9.1796597917769702</v>
      </c>
      <c r="E74" s="15"/>
      <c r="Y74" s="15"/>
    </row>
    <row r="75">
      <c r="A75" s="15">
        <f t="shared" ref="A75:A100" si="538">A74+1</f>
        <v>72</v>
      </c>
      <c r="B75">
        <v>-1.8232742163593529</v>
      </c>
      <c r="C75">
        <f t="shared" ref="C75:C99" si="539">5+0.4*C74+B75</f>
        <v>6.8485897003514404</v>
      </c>
      <c r="E75" s="15"/>
      <c r="Y75" s="15"/>
    </row>
    <row r="76">
      <c r="A76" s="15">
        <f t="shared" si="538"/>
        <v>73</v>
      </c>
      <c r="B76">
        <v>1.075018827880697e-02</v>
      </c>
      <c r="C76">
        <f t="shared" si="539"/>
        <v>7.7501860684193904</v>
      </c>
      <c r="E76" s="15"/>
      <c r="Y76" s="15"/>
    </row>
    <row r="77">
      <c r="A77" s="15">
        <f t="shared" si="538"/>
        <v>74</v>
      </c>
      <c r="B77">
        <v>0.7330775382125061</v>
      </c>
      <c r="C77">
        <f t="shared" si="539"/>
        <v>8.8331519655802708</v>
      </c>
      <c r="E77" s="15"/>
      <c r="Y77" s="15"/>
    </row>
    <row r="78">
      <c r="A78" s="15">
        <f t="shared" si="538"/>
        <v>75</v>
      </c>
      <c r="B78">
        <v>0.83783470743166322</v>
      </c>
      <c r="C78">
        <f t="shared" si="539"/>
        <v>9.3710954936637805</v>
      </c>
      <c r="E78" s="15"/>
      <c r="Y78" s="15"/>
    </row>
    <row r="79">
      <c r="A79" s="15">
        <f t="shared" si="538"/>
        <v>76</v>
      </c>
      <c r="B79">
        <v>-9.5603721077263226e-02</v>
      </c>
      <c r="C79">
        <f t="shared" si="539"/>
        <v>8.6528344763882501</v>
      </c>
      <c r="E79" s="15"/>
      <c r="Y79" s="15"/>
    </row>
    <row r="80">
      <c r="A80" s="15">
        <f t="shared" si="538"/>
        <v>77</v>
      </c>
      <c r="B80">
        <v>0.7953320963325331</v>
      </c>
      <c r="C80">
        <f t="shared" si="539"/>
        <v>9.2564658868878293</v>
      </c>
      <c r="E80" s="15"/>
      <c r="Y80" s="15"/>
    </row>
    <row r="81">
      <c r="A81" s="15">
        <f t="shared" si="538"/>
        <v>78</v>
      </c>
      <c r="B81">
        <v>0.94881052998886894</v>
      </c>
      <c r="C81">
        <f t="shared" si="539"/>
        <v>9.6513968847440008</v>
      </c>
      <c r="E81" s="15"/>
      <c r="Y81" s="15"/>
    </row>
    <row r="82">
      <c r="A82" s="15">
        <f t="shared" si="538"/>
        <v>79</v>
      </c>
      <c r="B82">
        <v>-2.2091954953374748</v>
      </c>
      <c r="C82">
        <f t="shared" si="539"/>
        <v>6.6513632585601199</v>
      </c>
      <c r="E82" s="15"/>
      <c r="Y82" s="15"/>
    </row>
    <row r="83">
      <c r="A83" s="15">
        <f t="shared" si="538"/>
        <v>80</v>
      </c>
      <c r="B83">
        <v>0.58428471659950165</v>
      </c>
      <c r="C83">
        <f t="shared" si="539"/>
        <v>8.2448300200235494</v>
      </c>
      <c r="E83" s="15"/>
      <c r="Y83" s="15"/>
    </row>
    <row r="84">
      <c r="A84" s="15">
        <f t="shared" si="538"/>
        <v>81</v>
      </c>
      <c r="B84">
        <v>-2.2565728658251021</v>
      </c>
      <c r="C84">
        <f t="shared" si="539"/>
        <v>6.0413591421843202</v>
      </c>
      <c r="E84" s="15"/>
      <c r="Y84" s="15"/>
    </row>
    <row r="85">
      <c r="A85" s="15">
        <f t="shared" si="538"/>
        <v>82</v>
      </c>
      <c r="B85">
        <v>0.232819083944728</v>
      </c>
      <c r="C85">
        <f t="shared" si="539"/>
        <v>7.6493627408184599</v>
      </c>
      <c r="E85" s="15"/>
      <c r="Y85" s="15"/>
    </row>
    <row r="86">
      <c r="A86" s="15">
        <f t="shared" si="538"/>
        <v>83</v>
      </c>
      <c r="B86">
        <v>0.49524033527740025</v>
      </c>
      <c r="C86">
        <f t="shared" si="539"/>
        <v>8.5549854316047806</v>
      </c>
      <c r="E86" s="15"/>
      <c r="Y86" s="15"/>
    </row>
    <row r="87">
      <c r="A87" s="15">
        <f t="shared" si="538"/>
        <v>84</v>
      </c>
      <c r="B87">
        <v>0.89450133380532859</v>
      </c>
      <c r="C87">
        <f t="shared" si="539"/>
        <v>9.3164955064472394</v>
      </c>
      <c r="E87" s="15"/>
      <c r="Y87" s="15"/>
    </row>
    <row r="88">
      <c r="A88" s="15">
        <f t="shared" si="538"/>
        <v>85</v>
      </c>
      <c r="B88">
        <v>0.66143975641931108</v>
      </c>
      <c r="C88">
        <f t="shared" si="539"/>
        <v>9.3880379589982095</v>
      </c>
      <c r="E88" s="15"/>
      <c r="Y88" s="15"/>
    </row>
    <row r="89">
      <c r="A89" s="15">
        <f t="shared" si="538"/>
        <v>86</v>
      </c>
      <c r="B89">
        <v>6.3199556908929588e-02</v>
      </c>
      <c r="C89">
        <f t="shared" si="539"/>
        <v>8.8184147405082101</v>
      </c>
      <c r="E89" s="15"/>
      <c r="Y89" s="15"/>
    </row>
    <row r="90">
      <c r="A90" s="15">
        <f t="shared" si="538"/>
        <v>87</v>
      </c>
      <c r="B90">
        <v>0.38254277742889281</v>
      </c>
      <c r="C90">
        <f t="shared" si="539"/>
        <v>8.9099086736321809</v>
      </c>
      <c r="E90" s="15"/>
      <c r="Y90" s="15"/>
    </row>
    <row r="91">
      <c r="A91" s="15">
        <f t="shared" si="538"/>
        <v>88</v>
      </c>
      <c r="B91">
        <v>-6.7312472198635689e-02</v>
      </c>
      <c r="C91">
        <f t="shared" si="539"/>
        <v>8.4966509972542408</v>
      </c>
      <c r="E91" s="15"/>
      <c r="Y91" s="15"/>
    </row>
    <row r="92">
      <c r="A92" s="15">
        <f t="shared" si="538"/>
        <v>89</v>
      </c>
      <c r="B92">
        <v>1.1971018891493823</v>
      </c>
      <c r="C92">
        <f t="shared" si="539"/>
        <v>9.5957622880510804</v>
      </c>
      <c r="E92" s="15"/>
      <c r="Y92" s="15"/>
    </row>
    <row r="93">
      <c r="A93" s="15">
        <f t="shared" si="538"/>
        <v>90</v>
      </c>
      <c r="B93">
        <v>0.59579933443828093</v>
      </c>
      <c r="C93">
        <f t="shared" si="539"/>
        <v>9.4341042496587093</v>
      </c>
      <c r="E93" s="15"/>
      <c r="Y93" s="15"/>
    </row>
    <row r="94">
      <c r="A94" s="15">
        <f t="shared" si="538"/>
        <v>91</v>
      </c>
      <c r="B94">
        <v>-0.41866766867043592</v>
      </c>
      <c r="C94">
        <f t="shared" si="539"/>
        <v>8.3549740311930503</v>
      </c>
      <c r="E94" s="15"/>
      <c r="Y94" s="15"/>
    </row>
    <row r="95">
      <c r="A95" s="15">
        <f t="shared" si="538"/>
        <v>92</v>
      </c>
      <c r="B95">
        <v>0.49549703119367117</v>
      </c>
      <c r="C95">
        <f t="shared" si="539"/>
        <v>8.8374866436708892</v>
      </c>
      <c r="E95" s="15"/>
      <c r="Y95" s="15"/>
    </row>
    <row r="96">
      <c r="A96" s="15">
        <f t="shared" si="538"/>
        <v>93</v>
      </c>
      <c r="B96">
        <v>-0.73198957727372749</v>
      </c>
      <c r="C96">
        <f t="shared" si="539"/>
        <v>7.8030050801946302</v>
      </c>
      <c r="E96" s="15"/>
      <c r="Y96" s="15"/>
    </row>
    <row r="97">
      <c r="A97" s="15">
        <f t="shared" si="538"/>
        <v>94</v>
      </c>
      <c r="B97">
        <v>-1.6890694051115556</v>
      </c>
      <c r="C97">
        <f t="shared" si="539"/>
        <v>6.4321326269662897</v>
      </c>
      <c r="E97" s="15"/>
      <c r="Y97" s="15"/>
    </row>
    <row r="98">
      <c r="A98" s="15">
        <f t="shared" si="538"/>
        <v>95</v>
      </c>
      <c r="B98">
        <v>0.63418513232695795</v>
      </c>
      <c r="C98">
        <f t="shared" si="539"/>
        <v>8.2070381831134807</v>
      </c>
      <c r="E98" s="15"/>
      <c r="Y98" s="15"/>
    </row>
    <row r="99">
      <c r="A99" s="15">
        <f t="shared" si="538"/>
        <v>96</v>
      </c>
      <c r="B99">
        <v>-1.3893141203729289</v>
      </c>
      <c r="C99">
        <f t="shared" si="539"/>
        <v>6.8935011528724601</v>
      </c>
      <c r="E99" s="15"/>
      <c r="Y99" s="15"/>
    </row>
    <row r="100">
      <c r="A100" s="15">
        <f t="shared" si="538"/>
        <v>97</v>
      </c>
      <c r="B100">
        <v>-1.1760428057670615</v>
      </c>
      <c r="C100">
        <f>5+0.4*C99+B100</f>
        <v>6.58135765538192</v>
      </c>
      <c r="E100" s="15"/>
      <c r="Y100" s="15"/>
    </row>
    <row r="101">
      <c r="A101" s="15">
        <f t="shared" ref="A101:A103" si="540">A100+1</f>
        <v>98</v>
      </c>
      <c r="B101">
        <v>-0.90942951113553827</v>
      </c>
      <c r="C101">
        <f t="shared" ref="C101:C103" si="541">5+0.4*C100+B101</f>
        <v>6.7231135510172297</v>
      </c>
      <c r="E101" s="15"/>
      <c r="Y101" s="15"/>
    </row>
    <row r="102">
      <c r="A102" s="15">
        <f t="shared" si="540"/>
        <v>99</v>
      </c>
      <c r="B102">
        <v>-2.0861429707489747</v>
      </c>
      <c r="C102">
        <f t="shared" si="541"/>
        <v>5.6031024496579098</v>
      </c>
      <c r="E102" s="15"/>
      <c r="Y102" s="15"/>
    </row>
    <row r="103">
      <c r="A103" s="15">
        <f t="shared" si="540"/>
        <v>100</v>
      </c>
      <c r="B103" s="14">
        <v>1.0086025406962058</v>
      </c>
      <c r="C103" s="14">
        <f t="shared" si="541"/>
        <v>8.2498435205593701</v>
      </c>
      <c r="E103" s="15"/>
      <c r="Y103" s="15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6" max="7" width="10.178571"/>
  </cols>
  <sheetData>
    <row r="1">
      <c r="A1" s="52" t="s">
        <v>431</v>
      </c>
    </row>
    <row r="3">
      <c r="B3" s="4" t="s">
        <v>342</v>
      </c>
      <c r="C3" s="4" t="s">
        <v>343</v>
      </c>
      <c r="E3" s="4" t="s">
        <v>291</v>
      </c>
      <c r="F3" s="4" t="s">
        <v>328</v>
      </c>
      <c r="G3" s="4" t="s">
        <v>438</v>
      </c>
    </row>
    <row r="4">
      <c r="A4" s="15">
        <v>1</v>
      </c>
      <c r="B4">
        <v>-0.69785249480192335</v>
      </c>
      <c r="C4">
        <f>5+0.4*0+B4</f>
        <v>4.3021475051980804</v>
      </c>
      <c r="E4" s="15"/>
    </row>
    <row r="5">
      <c r="A5" s="15">
        <f t="shared" ref="A5:A10" si="542">A4+1</f>
        <v>2</v>
      </c>
      <c r="B5">
        <v>-0.57784409098609935</v>
      </c>
      <c r="C5">
        <f t="shared" ref="C5:C9" si="543">5+0.4*C4+B5</f>
        <v>6.1430149110931298</v>
      </c>
      <c r="E5" s="15"/>
    </row>
    <row r="6">
      <c r="A6" s="15">
        <f t="shared" si="542"/>
        <v>3</v>
      </c>
      <c r="B6">
        <v>-1.1112486969478823</v>
      </c>
      <c r="C6">
        <f t="shared" si="543"/>
        <v>6.3459572674893696</v>
      </c>
      <c r="E6" s="15">
        <v>1</v>
      </c>
      <c r="F6" s="5" t="e">
        <v>#NAME?</v>
      </c>
      <c r="G6" s="6">
        <f>0.4^E6</f>
        <v>0.40000000000000002</v>
      </c>
    </row>
    <row r="7">
      <c r="A7" s="15">
        <f t="shared" si="542"/>
        <v>4</v>
      </c>
      <c r="B7">
        <v>-0.56033359170276131</v>
      </c>
      <c r="C7">
        <f t="shared" si="543"/>
        <v>6.9780493152929903</v>
      </c>
      <c r="E7" s="15">
        <f t="shared" ref="E7:E10" si="544">E6+1</f>
        <v>2</v>
      </c>
      <c r="F7" s="8" t="e">
        <v>#NAME?</v>
      </c>
      <c r="G7" s="9">
        <v>0</v>
      </c>
    </row>
    <row r="8">
      <c r="A8" s="15">
        <f t="shared" si="542"/>
        <v>5</v>
      </c>
      <c r="B8">
        <v>1.6565339753336528</v>
      </c>
      <c r="C8">
        <f t="shared" si="543"/>
        <v>9.4477537014508499</v>
      </c>
      <c r="E8" s="15">
        <f t="shared" si="544"/>
        <v>3</v>
      </c>
      <c r="F8" s="8" t="e">
        <v>#NAME?</v>
      </c>
      <c r="G8" s="9">
        <v>0</v>
      </c>
    </row>
    <row r="9">
      <c r="A9" s="15">
        <f t="shared" si="542"/>
        <v>6</v>
      </c>
      <c r="B9">
        <v>-0.41484923591072331</v>
      </c>
      <c r="C9">
        <f t="shared" si="543"/>
        <v>8.3642522446696201</v>
      </c>
      <c r="E9" s="15">
        <f t="shared" si="544"/>
        <v>4</v>
      </c>
      <c r="F9" s="8" t="e">
        <v>#NAME?</v>
      </c>
      <c r="G9" s="9">
        <v>0</v>
      </c>
    </row>
    <row r="10">
      <c r="A10" s="15">
        <f t="shared" si="542"/>
        <v>7</v>
      </c>
      <c r="B10">
        <v>-1.274931208283298</v>
      </c>
      <c r="C10">
        <f>5+0.4*C9+B10</f>
        <v>7.0707696895845498</v>
      </c>
      <c r="E10" s="15">
        <f t="shared" si="544"/>
        <v>5</v>
      </c>
      <c r="F10" s="8" t="e">
        <v>#NAME?</v>
      </c>
      <c r="G10" s="9">
        <v>0</v>
      </c>
    </row>
    <row r="11">
      <c r="A11" s="15">
        <f t="shared" ref="A11:A74" si="545">A10+1</f>
        <v>8</v>
      </c>
      <c r="B11">
        <v>-0.80593538272356324</v>
      </c>
      <c r="C11">
        <f t="shared" ref="C11:C74" si="546">5+0.4*C10+B11</f>
        <v>7.02237249311026</v>
      </c>
      <c r="E11" s="15">
        <f t="shared" ref="E11:E20" si="547">E10+1</f>
        <v>6</v>
      </c>
      <c r="F11" s="8" t="e">
        <v>#NAME?</v>
      </c>
      <c r="G11" s="9">
        <v>0</v>
      </c>
    </row>
    <row r="12">
      <c r="A12" s="15">
        <f t="shared" si="545"/>
        <v>9</v>
      </c>
      <c r="B12">
        <v>-0.17954155743882044</v>
      </c>
      <c r="C12">
        <f t="shared" si="546"/>
        <v>7.6294074398052798</v>
      </c>
      <c r="E12" s="15">
        <f t="shared" si="547"/>
        <v>7</v>
      </c>
      <c r="F12" s="8" t="e">
        <v>#NAME?</v>
      </c>
      <c r="G12" s="9">
        <v>0</v>
      </c>
    </row>
    <row r="13">
      <c r="A13" s="15">
        <f t="shared" si="545"/>
        <v>10</v>
      </c>
      <c r="B13">
        <v>-0.60002179872810935</v>
      </c>
      <c r="C13">
        <f t="shared" si="546"/>
        <v>7.4517411771940001</v>
      </c>
      <c r="E13" s="15">
        <f t="shared" si="547"/>
        <v>8</v>
      </c>
      <c r="F13" s="8" t="e">
        <v>#NAME?</v>
      </c>
      <c r="G13" s="9">
        <v>0</v>
      </c>
    </row>
    <row r="14">
      <c r="A14" s="15">
        <f t="shared" si="545"/>
        <v>11</v>
      </c>
      <c r="B14">
        <v>-0.66763333953713522</v>
      </c>
      <c r="C14">
        <f t="shared" si="546"/>
        <v>7.3130631313404697</v>
      </c>
      <c r="E14" s="15">
        <f t="shared" si="547"/>
        <v>9</v>
      </c>
      <c r="F14" s="8" t="e">
        <v>#NAME?</v>
      </c>
      <c r="G14" s="9">
        <v>0</v>
      </c>
    </row>
    <row r="15">
      <c r="A15" s="15">
        <f t="shared" si="545"/>
        <v>12</v>
      </c>
      <c r="B15">
        <v>-1.1882740654292401</v>
      </c>
      <c r="C15">
        <f t="shared" si="546"/>
        <v>6.7369511871069498</v>
      </c>
      <c r="E15" s="15">
        <f t="shared" si="547"/>
        <v>10</v>
      </c>
      <c r="F15" s="8" t="e">
        <v>#NAME?</v>
      </c>
      <c r="G15" s="9">
        <v>0</v>
      </c>
    </row>
    <row r="16">
      <c r="A16" s="15">
        <f t="shared" si="545"/>
        <v>13</v>
      </c>
      <c r="B16">
        <v>-5.9362987216999438e-02</v>
      </c>
      <c r="C16">
        <f t="shared" si="546"/>
        <v>7.6354174876257801</v>
      </c>
      <c r="E16" s="15">
        <f t="shared" si="547"/>
        <v>11</v>
      </c>
      <c r="F16" s="8" t="e">
        <v>#NAME?</v>
      </c>
      <c r="G16" s="9">
        <v>0</v>
      </c>
    </row>
    <row r="17">
      <c r="A17" s="15">
        <f t="shared" si="545"/>
        <v>14</v>
      </c>
      <c r="B17">
        <v>0.2800890126112825</v>
      </c>
      <c r="C17">
        <f t="shared" si="546"/>
        <v>8.3342560076615904</v>
      </c>
      <c r="E17" s="15">
        <f t="shared" si="547"/>
        <v>12</v>
      </c>
      <c r="F17" s="8" t="e">
        <v>#NAME?</v>
      </c>
      <c r="G17" s="9">
        <v>0</v>
      </c>
    </row>
    <row r="18">
      <c r="A18" s="15">
        <f t="shared" si="545"/>
        <v>15</v>
      </c>
      <c r="B18">
        <v>0.18047523554544689</v>
      </c>
      <c r="C18">
        <f t="shared" si="546"/>
        <v>8.5141776386100894</v>
      </c>
      <c r="E18" s="15">
        <f t="shared" si="547"/>
        <v>13</v>
      </c>
      <c r="F18" s="8" t="e">
        <v>#NAME?</v>
      </c>
      <c r="G18" s="9">
        <v>0</v>
      </c>
    </row>
    <row r="19">
      <c r="A19" s="15">
        <f t="shared" si="545"/>
        <v>16</v>
      </c>
      <c r="B19">
        <v>1.0704437186023568</v>
      </c>
      <c r="C19">
        <f t="shared" si="546"/>
        <v>9.4761147740463993</v>
      </c>
      <c r="E19" s="15">
        <f t="shared" si="547"/>
        <v>14</v>
      </c>
      <c r="F19" s="8" t="e">
        <v>#NAME?</v>
      </c>
      <c r="G19" s="9">
        <v>0</v>
      </c>
    </row>
    <row r="20">
      <c r="A20" s="15">
        <f t="shared" si="545"/>
        <v>17</v>
      </c>
      <c r="B20">
        <v>-0.34072311283254125</v>
      </c>
      <c r="C20">
        <f t="shared" si="546"/>
        <v>8.4497227967860198</v>
      </c>
      <c r="E20" s="15">
        <f t="shared" si="547"/>
        <v>15</v>
      </c>
      <c r="F20" s="11" t="e">
        <v>#NAME?</v>
      </c>
      <c r="G20" s="12">
        <v>0</v>
      </c>
    </row>
    <row r="21">
      <c r="A21" s="15">
        <f t="shared" si="545"/>
        <v>18</v>
      </c>
      <c r="B21">
        <v>1.1245741006977239</v>
      </c>
      <c r="C21">
        <f t="shared" si="546"/>
        <v>9.5044632194121306</v>
      </c>
    </row>
    <row r="22">
      <c r="A22" s="15">
        <f t="shared" si="545"/>
        <v>19</v>
      </c>
      <c r="B22">
        <v>-2.1341842125122983</v>
      </c>
      <c r="C22">
        <f t="shared" si="546"/>
        <v>6.6676010752525503</v>
      </c>
    </row>
    <row r="23">
      <c r="A23" s="15">
        <f t="shared" si="545"/>
        <v>20</v>
      </c>
      <c r="B23">
        <v>0.18527521137964742</v>
      </c>
      <c r="C23">
        <f t="shared" si="546"/>
        <v>7.8523156414806703</v>
      </c>
    </row>
    <row r="24">
      <c r="A24" s="15">
        <f t="shared" si="545"/>
        <v>21</v>
      </c>
      <c r="B24">
        <v>-0.2220638394273014</v>
      </c>
      <c r="C24">
        <f t="shared" si="546"/>
        <v>7.91886241716497</v>
      </c>
    </row>
    <row r="25">
      <c r="A25" s="15">
        <f t="shared" si="545"/>
        <v>22</v>
      </c>
      <c r="B25">
        <v>0.60504116436601907</v>
      </c>
      <c r="C25">
        <f t="shared" si="546"/>
        <v>8.7725861312320106</v>
      </c>
    </row>
    <row r="26">
      <c r="A26" s="15">
        <f t="shared" si="545"/>
        <v>23</v>
      </c>
      <c r="B26">
        <v>2.4090628953263198</v>
      </c>
      <c r="C26">
        <f t="shared" si="546"/>
        <v>10.918097347819099</v>
      </c>
    </row>
    <row r="27">
      <c r="A27" s="15">
        <f t="shared" si="545"/>
        <v>24</v>
      </c>
      <c r="B27">
        <v>-0.22785690261685324</v>
      </c>
      <c r="C27">
        <f t="shared" si="546"/>
        <v>9.1393820365107903</v>
      </c>
    </row>
    <row r="28">
      <c r="A28" s="15">
        <f t="shared" si="545"/>
        <v>25</v>
      </c>
      <c r="B28">
        <v>1.4933040877872452</v>
      </c>
      <c r="C28">
        <f t="shared" si="546"/>
        <v>10.1490569023916</v>
      </c>
    </row>
    <row r="29">
      <c r="A29" s="15">
        <f t="shared" si="545"/>
        <v>26</v>
      </c>
      <c r="B29">
        <v>0.71349407818724175</v>
      </c>
      <c r="C29">
        <f t="shared" si="546"/>
        <v>9.7731168391438796</v>
      </c>
    </row>
    <row r="30">
      <c r="A30" s="15">
        <f t="shared" si="545"/>
        <v>27</v>
      </c>
      <c r="B30">
        <v>-0.76524343436916198</v>
      </c>
      <c r="C30">
        <f t="shared" si="546"/>
        <v>8.1440033012883895</v>
      </c>
    </row>
    <row r="31">
      <c r="A31" s="15">
        <f t="shared" si="545"/>
        <v>28</v>
      </c>
      <c r="B31">
        <v>-1.41910094409001</v>
      </c>
      <c r="C31">
        <f t="shared" si="546"/>
        <v>6.8385003764253502</v>
      </c>
    </row>
    <row r="32">
      <c r="A32" s="15">
        <f t="shared" si="545"/>
        <v>29</v>
      </c>
      <c r="B32">
        <v>1.4740369863748077</v>
      </c>
      <c r="C32">
        <f t="shared" si="546"/>
        <v>9.2094371369449508</v>
      </c>
    </row>
    <row r="33">
      <c r="A33" s="15">
        <f t="shared" si="545"/>
        <v>30</v>
      </c>
      <c r="B33">
        <v>0.15337369729432532</v>
      </c>
      <c r="C33">
        <f t="shared" si="546"/>
        <v>8.8371485520723105</v>
      </c>
    </row>
    <row r="34">
      <c r="A34" s="15">
        <f t="shared" si="545"/>
        <v>31</v>
      </c>
      <c r="B34">
        <v>-0.91392995787539277</v>
      </c>
      <c r="C34">
        <f t="shared" si="546"/>
        <v>7.6209294629535398</v>
      </c>
    </row>
    <row r="35">
      <c r="A35" s="15">
        <f t="shared" si="545"/>
        <v>32</v>
      </c>
      <c r="B35">
        <v>-0.25821378573000997</v>
      </c>
      <c r="C35">
        <f t="shared" si="546"/>
        <v>7.7901579994514103</v>
      </c>
    </row>
    <row r="36">
      <c r="A36" s="15">
        <f t="shared" si="545"/>
        <v>33</v>
      </c>
      <c r="B36">
        <v>-0.49661123146611519</v>
      </c>
      <c r="C36">
        <f t="shared" si="546"/>
        <v>7.6194519683144497</v>
      </c>
    </row>
    <row r="37">
      <c r="A37" s="15">
        <f t="shared" si="545"/>
        <v>34</v>
      </c>
      <c r="B37">
        <v>1.0801200937235271</v>
      </c>
      <c r="C37">
        <f t="shared" si="546"/>
        <v>9.1279008810493103</v>
      </c>
    </row>
    <row r="38">
      <c r="A38" s="15">
        <f t="shared" si="545"/>
        <v>35</v>
      </c>
      <c r="B38">
        <v>0.62769726735219566</v>
      </c>
      <c r="C38">
        <f t="shared" si="546"/>
        <v>9.2788576197719195</v>
      </c>
    </row>
    <row r="39">
      <c r="A39" s="15">
        <f t="shared" si="545"/>
        <v>36</v>
      </c>
      <c r="B39">
        <v>-4.7183894609775658e-02</v>
      </c>
      <c r="C39">
        <f t="shared" si="546"/>
        <v>8.6643591532989994</v>
      </c>
    </row>
    <row r="40">
      <c r="A40" s="15">
        <f t="shared" si="545"/>
        <v>37</v>
      </c>
      <c r="B40">
        <v>1.2597876850887306</v>
      </c>
      <c r="C40">
        <f t="shared" si="546"/>
        <v>9.7255313464083297</v>
      </c>
    </row>
    <row r="41">
      <c r="A41" s="15">
        <f t="shared" si="545"/>
        <v>38</v>
      </c>
      <c r="B41">
        <v>2.5165584473214784</v>
      </c>
      <c r="C41">
        <f t="shared" si="546"/>
        <v>11.406770985884799</v>
      </c>
    </row>
    <row r="42">
      <c r="A42" s="15">
        <f t="shared" si="545"/>
        <v>39</v>
      </c>
      <c r="B42">
        <v>0.27095358748665704</v>
      </c>
      <c r="C42">
        <f t="shared" si="546"/>
        <v>9.8336619818405797</v>
      </c>
    </row>
    <row r="43">
      <c r="A43" s="15">
        <f t="shared" si="545"/>
        <v>40</v>
      </c>
      <c r="B43">
        <v>-0.47142727098497039</v>
      </c>
      <c r="C43">
        <f t="shared" si="546"/>
        <v>8.4620375217512596</v>
      </c>
    </row>
    <row r="44">
      <c r="A44" s="15">
        <f t="shared" si="545"/>
        <v>41</v>
      </c>
      <c r="B44">
        <v>-1.3509821338183614</v>
      </c>
      <c r="C44">
        <f t="shared" si="546"/>
        <v>7.0338328748821404</v>
      </c>
    </row>
    <row r="45">
      <c r="A45" s="15">
        <f t="shared" si="545"/>
        <v>42</v>
      </c>
      <c r="B45">
        <v>-0.52523357627441403</v>
      </c>
      <c r="C45">
        <f t="shared" si="546"/>
        <v>7.2882995736784499</v>
      </c>
    </row>
    <row r="46">
      <c r="A46" s="15">
        <f t="shared" si="545"/>
        <v>43</v>
      </c>
      <c r="B46">
        <v>0.9713555761936753</v>
      </c>
      <c r="C46">
        <f t="shared" si="546"/>
        <v>8.8866754056650592</v>
      </c>
    </row>
    <row r="47">
      <c r="A47" s="15">
        <f t="shared" si="545"/>
        <v>44</v>
      </c>
      <c r="B47">
        <v>-1.0748501156519588</v>
      </c>
      <c r="C47">
        <f t="shared" si="546"/>
        <v>7.4798200466140603</v>
      </c>
    </row>
    <row r="48">
      <c r="A48" s="15">
        <f t="shared" si="545"/>
        <v>45</v>
      </c>
      <c r="B48">
        <v>1.7738103479768892</v>
      </c>
      <c r="C48">
        <f t="shared" si="546"/>
        <v>9.7657383666225108</v>
      </c>
    </row>
    <row r="49">
      <c r="A49" s="15">
        <f t="shared" si="545"/>
        <v>46</v>
      </c>
      <c r="B49">
        <v>-0.96159497995241305</v>
      </c>
      <c r="C49">
        <f t="shared" si="546"/>
        <v>7.9447003666966003</v>
      </c>
    </row>
    <row r="50">
      <c r="A50" s="15">
        <f t="shared" si="545"/>
        <v>47</v>
      </c>
      <c r="B50">
        <v>-1.3487968912158848</v>
      </c>
      <c r="C50">
        <f t="shared" si="546"/>
        <v>6.8290832554627601</v>
      </c>
    </row>
    <row r="51">
      <c r="A51" s="15">
        <f t="shared" si="545"/>
        <v>48</v>
      </c>
      <c r="B51">
        <v>0.18934575003145279</v>
      </c>
      <c r="C51">
        <f t="shared" si="546"/>
        <v>7.9209790522165502</v>
      </c>
    </row>
    <row r="52">
      <c r="A52" s="15">
        <f t="shared" si="545"/>
        <v>49</v>
      </c>
      <c r="B52">
        <v>-2.2171935642462177</v>
      </c>
      <c r="C52">
        <f t="shared" si="546"/>
        <v>5.9511980566403997</v>
      </c>
    </row>
    <row r="53">
      <c r="A53" s="15">
        <f t="shared" si="545"/>
        <v>50</v>
      </c>
      <c r="B53">
        <v>-0.15611584341500756</v>
      </c>
      <c r="C53">
        <f t="shared" si="546"/>
        <v>7.2243633792411499</v>
      </c>
    </row>
    <row r="54">
      <c r="A54" s="15">
        <f t="shared" si="545"/>
        <v>51</v>
      </c>
      <c r="B54">
        <v>0.1487533713317542</v>
      </c>
      <c r="C54">
        <f t="shared" si="546"/>
        <v>8.0384987230282192</v>
      </c>
    </row>
    <row r="55">
      <c r="A55" s="15">
        <f t="shared" si="545"/>
        <v>52</v>
      </c>
      <c r="B55">
        <v>-0.47544656135152208</v>
      </c>
      <c r="C55">
        <f t="shared" si="546"/>
        <v>7.7399529278597701</v>
      </c>
    </row>
    <row r="56">
      <c r="A56" s="15">
        <f t="shared" si="545"/>
        <v>53</v>
      </c>
      <c r="B56">
        <v>0.85919497639068365</v>
      </c>
      <c r="C56">
        <f t="shared" si="546"/>
        <v>8.9551761475345995</v>
      </c>
    </row>
    <row r="57">
      <c r="A57" s="15">
        <f t="shared" si="545"/>
        <v>54</v>
      </c>
      <c r="B57">
        <v>1.3246162518823315</v>
      </c>
      <c r="C57">
        <f t="shared" si="546"/>
        <v>9.9066867108961691</v>
      </c>
    </row>
    <row r="58">
      <c r="A58" s="15">
        <f t="shared" si="545"/>
        <v>55</v>
      </c>
      <c r="B58">
        <v>1.2039291261462839</v>
      </c>
      <c r="C58">
        <f t="shared" si="546"/>
        <v>10.1666038105048</v>
      </c>
    </row>
    <row r="59">
      <c r="A59" s="15">
        <f t="shared" si="545"/>
        <v>56</v>
      </c>
      <c r="B59">
        <v>4.9959592389363879e-02</v>
      </c>
      <c r="C59">
        <f t="shared" si="546"/>
        <v>9.1166011165912906</v>
      </c>
    </row>
    <row r="60">
      <c r="A60" s="15">
        <f t="shared" si="545"/>
        <v>57</v>
      </c>
      <c r="B60">
        <v>-1.1481030425994976</v>
      </c>
      <c r="C60">
        <f t="shared" si="546"/>
        <v>7.4985374040370196</v>
      </c>
    </row>
    <row r="61">
      <c r="A61" s="15">
        <f t="shared" si="545"/>
        <v>58</v>
      </c>
      <c r="B61">
        <v>-1.2999610098507186</v>
      </c>
      <c r="C61">
        <f t="shared" si="546"/>
        <v>6.6994539517640899</v>
      </c>
    </row>
    <row r="62">
      <c r="A62" s="15">
        <f t="shared" si="545"/>
        <v>59</v>
      </c>
      <c r="B62">
        <v>2.3091411480625057</v>
      </c>
      <c r="C62">
        <f t="shared" si="546"/>
        <v>9.9889227287681503</v>
      </c>
    </row>
    <row r="63">
      <c r="A63" s="15">
        <f t="shared" si="545"/>
        <v>60</v>
      </c>
      <c r="B63">
        <v>-0.42761844974413882</v>
      </c>
      <c r="C63">
        <f t="shared" si="546"/>
        <v>8.5679506417631206</v>
      </c>
    </row>
    <row r="64">
      <c r="A64" s="15">
        <f t="shared" si="545"/>
        <v>61</v>
      </c>
      <c r="B64">
        <v>2.7134767554812287</v>
      </c>
      <c r="C64">
        <f t="shared" si="546"/>
        <v>11.1406570121865</v>
      </c>
    </row>
    <row r="65">
      <c r="A65" s="15">
        <f t="shared" si="545"/>
        <v>62</v>
      </c>
      <c r="B65">
        <v>1.4055530411870727</v>
      </c>
      <c r="C65">
        <f t="shared" si="546"/>
        <v>10.861815846061701</v>
      </c>
    </row>
    <row r="66">
      <c r="A66" s="15">
        <f t="shared" si="545"/>
        <v>63</v>
      </c>
      <c r="B66">
        <v>-2.3970970128170639</v>
      </c>
      <c r="C66">
        <f t="shared" si="546"/>
        <v>6.94762932560762</v>
      </c>
    </row>
    <row r="67">
      <c r="A67" s="15">
        <f t="shared" si="545"/>
        <v>64</v>
      </c>
      <c r="B67">
        <v>-1.3982167784378965</v>
      </c>
      <c r="C67">
        <f t="shared" si="546"/>
        <v>6.3808349518051504</v>
      </c>
    </row>
    <row r="68">
      <c r="A68" s="15">
        <f t="shared" si="545"/>
        <v>65</v>
      </c>
      <c r="B68">
        <v>1.5203453639068958</v>
      </c>
      <c r="C68">
        <f t="shared" si="546"/>
        <v>9.0726793446289609</v>
      </c>
    </row>
    <row r="69">
      <c r="A69" s="15">
        <f t="shared" si="545"/>
        <v>66</v>
      </c>
      <c r="B69">
        <v>-1.796693354333766</v>
      </c>
      <c r="C69">
        <f t="shared" si="546"/>
        <v>6.8323783835178098</v>
      </c>
    </row>
    <row r="70">
      <c r="A70" s="15">
        <f t="shared" si="545"/>
        <v>67</v>
      </c>
      <c r="B70">
        <v>-0.38337016660247258</v>
      </c>
      <c r="C70">
        <f t="shared" si="546"/>
        <v>7.3495811868046497</v>
      </c>
    </row>
    <row r="71">
      <c r="A71" s="15">
        <f t="shared" si="545"/>
        <v>68</v>
      </c>
      <c r="B71">
        <v>0.7237406021617061</v>
      </c>
      <c r="C71">
        <f t="shared" si="546"/>
        <v>8.6635730768835693</v>
      </c>
    </row>
    <row r="72">
      <c r="A72" s="15">
        <f t="shared" si="545"/>
        <v>69</v>
      </c>
      <c r="B72">
        <v>0.15450598594324802</v>
      </c>
      <c r="C72">
        <f t="shared" si="546"/>
        <v>8.6199352166966801</v>
      </c>
    </row>
    <row r="73">
      <c r="A73" s="15">
        <f t="shared" si="545"/>
        <v>70</v>
      </c>
      <c r="B73">
        <v>0.63496088513469295</v>
      </c>
      <c r="C73">
        <f t="shared" si="546"/>
        <v>9.0829349718133603</v>
      </c>
    </row>
    <row r="74">
      <c r="A74" s="15">
        <f t="shared" si="545"/>
        <v>71</v>
      </c>
      <c r="B74">
        <v>0.54648580305162842</v>
      </c>
      <c r="C74">
        <f t="shared" si="546"/>
        <v>9.1796597917769702</v>
      </c>
    </row>
    <row r="75">
      <c r="A75" s="15">
        <f t="shared" ref="A75:A100" si="548">A74+1</f>
        <v>72</v>
      </c>
      <c r="B75">
        <v>-1.8232742163593529</v>
      </c>
      <c r="C75">
        <f t="shared" ref="C75:C99" si="549">5+0.4*C74+B75</f>
        <v>6.8485897003514404</v>
      </c>
    </row>
    <row r="76">
      <c r="A76" s="15">
        <f t="shared" si="548"/>
        <v>73</v>
      </c>
      <c r="B76">
        <v>1.075018827880697e-02</v>
      </c>
      <c r="C76">
        <f t="shared" si="549"/>
        <v>7.7501860684193904</v>
      </c>
    </row>
    <row r="77">
      <c r="A77" s="15">
        <f t="shared" si="548"/>
        <v>74</v>
      </c>
      <c r="B77">
        <v>0.7330775382125061</v>
      </c>
      <c r="C77">
        <f t="shared" si="549"/>
        <v>8.8331519655802708</v>
      </c>
    </row>
    <row r="78">
      <c r="A78" s="15">
        <f t="shared" si="548"/>
        <v>75</v>
      </c>
      <c r="B78">
        <v>0.83783470743166322</v>
      </c>
      <c r="C78">
        <f t="shared" si="549"/>
        <v>9.3710954936637805</v>
      </c>
    </row>
    <row r="79">
      <c r="A79" s="15">
        <f t="shared" si="548"/>
        <v>76</v>
      </c>
      <c r="B79">
        <v>-9.5603721077263226e-02</v>
      </c>
      <c r="C79">
        <f t="shared" si="549"/>
        <v>8.6528344763882501</v>
      </c>
    </row>
    <row r="80">
      <c r="A80" s="15">
        <f t="shared" si="548"/>
        <v>77</v>
      </c>
      <c r="B80">
        <v>0.7953320963325331</v>
      </c>
      <c r="C80">
        <f t="shared" si="549"/>
        <v>9.2564658868878293</v>
      </c>
    </row>
    <row r="81">
      <c r="A81" s="15">
        <f t="shared" si="548"/>
        <v>78</v>
      </c>
      <c r="B81">
        <v>0.94881052998886894</v>
      </c>
      <c r="C81">
        <f t="shared" si="549"/>
        <v>9.6513968847440008</v>
      </c>
    </row>
    <row r="82">
      <c r="A82" s="15">
        <f t="shared" si="548"/>
        <v>79</v>
      </c>
      <c r="B82">
        <v>-2.2091954953374748</v>
      </c>
      <c r="C82">
        <f t="shared" si="549"/>
        <v>6.6513632585601199</v>
      </c>
    </row>
    <row r="83">
      <c r="A83" s="15">
        <f t="shared" si="548"/>
        <v>80</v>
      </c>
      <c r="B83">
        <v>0.58428471659950165</v>
      </c>
      <c r="C83">
        <f t="shared" si="549"/>
        <v>8.2448300200235494</v>
      </c>
    </row>
    <row r="84">
      <c r="A84" s="15">
        <f t="shared" si="548"/>
        <v>81</v>
      </c>
      <c r="B84">
        <v>-2.2565728658251021</v>
      </c>
      <c r="C84">
        <f t="shared" si="549"/>
        <v>6.0413591421843202</v>
      </c>
    </row>
    <row r="85">
      <c r="A85" s="15">
        <f t="shared" si="548"/>
        <v>82</v>
      </c>
      <c r="B85">
        <v>0.232819083944728</v>
      </c>
      <c r="C85">
        <f t="shared" si="549"/>
        <v>7.6493627408184599</v>
      </c>
    </row>
    <row r="86">
      <c r="A86" s="15">
        <f t="shared" si="548"/>
        <v>83</v>
      </c>
      <c r="B86">
        <v>0.49524033527740025</v>
      </c>
      <c r="C86">
        <f t="shared" si="549"/>
        <v>8.5549854316047806</v>
      </c>
    </row>
    <row r="87">
      <c r="A87" s="15">
        <f t="shared" si="548"/>
        <v>84</v>
      </c>
      <c r="B87">
        <v>0.89450133380532859</v>
      </c>
      <c r="C87">
        <f t="shared" si="549"/>
        <v>9.3164955064472394</v>
      </c>
    </row>
    <row r="88">
      <c r="A88" s="15">
        <f t="shared" si="548"/>
        <v>85</v>
      </c>
      <c r="B88">
        <v>0.66143975641931108</v>
      </c>
      <c r="C88">
        <f t="shared" si="549"/>
        <v>9.3880379589982095</v>
      </c>
    </row>
    <row r="89">
      <c r="A89" s="15">
        <f t="shared" si="548"/>
        <v>86</v>
      </c>
      <c r="B89">
        <v>6.3199556908929588e-02</v>
      </c>
      <c r="C89">
        <f t="shared" si="549"/>
        <v>8.8184147405082101</v>
      </c>
    </row>
    <row r="90">
      <c r="A90" s="15">
        <f t="shared" si="548"/>
        <v>87</v>
      </c>
      <c r="B90">
        <v>0.38254277742889281</v>
      </c>
      <c r="C90">
        <f t="shared" si="549"/>
        <v>8.9099086736321809</v>
      </c>
    </row>
    <row r="91">
      <c r="A91" s="15">
        <f t="shared" si="548"/>
        <v>88</v>
      </c>
      <c r="B91">
        <v>-6.7312472198635689e-02</v>
      </c>
      <c r="C91">
        <f t="shared" si="549"/>
        <v>8.4966509972542408</v>
      </c>
    </row>
    <row r="92">
      <c r="A92" s="15">
        <f t="shared" si="548"/>
        <v>89</v>
      </c>
      <c r="B92">
        <v>1.1971018891493823</v>
      </c>
      <c r="C92">
        <f t="shared" si="549"/>
        <v>9.5957622880510804</v>
      </c>
    </row>
    <row r="93">
      <c r="A93" s="15">
        <f t="shared" si="548"/>
        <v>90</v>
      </c>
      <c r="B93">
        <v>0.59579933443828093</v>
      </c>
      <c r="C93">
        <f t="shared" si="549"/>
        <v>9.4341042496587093</v>
      </c>
    </row>
    <row r="94">
      <c r="A94" s="15">
        <f t="shared" si="548"/>
        <v>91</v>
      </c>
      <c r="B94">
        <v>-0.41866766867043592</v>
      </c>
      <c r="C94">
        <f t="shared" si="549"/>
        <v>8.3549740311930503</v>
      </c>
    </row>
    <row r="95">
      <c r="A95" s="15">
        <f t="shared" si="548"/>
        <v>92</v>
      </c>
      <c r="B95">
        <v>0.49549703119367117</v>
      </c>
      <c r="C95">
        <f t="shared" si="549"/>
        <v>8.8374866436708892</v>
      </c>
    </row>
    <row r="96">
      <c r="A96" s="15">
        <f t="shared" si="548"/>
        <v>93</v>
      </c>
      <c r="B96">
        <v>-0.73198957727372749</v>
      </c>
      <c r="C96">
        <f t="shared" si="549"/>
        <v>7.8030050801946302</v>
      </c>
    </row>
    <row r="97">
      <c r="A97" s="15">
        <f t="shared" si="548"/>
        <v>94</v>
      </c>
      <c r="B97">
        <v>-1.6890694051115556</v>
      </c>
      <c r="C97">
        <f t="shared" si="549"/>
        <v>6.4321326269662897</v>
      </c>
    </row>
    <row r="98">
      <c r="A98" s="15">
        <f t="shared" si="548"/>
        <v>95</v>
      </c>
      <c r="B98">
        <v>0.63418513232695795</v>
      </c>
      <c r="C98">
        <f t="shared" si="549"/>
        <v>8.2070381831134807</v>
      </c>
    </row>
    <row r="99">
      <c r="A99" s="15">
        <f t="shared" si="548"/>
        <v>96</v>
      </c>
      <c r="B99">
        <v>-1.3893141203729289</v>
      </c>
      <c r="C99">
        <f t="shared" si="549"/>
        <v>6.8935011528724601</v>
      </c>
    </row>
    <row r="100">
      <c r="A100" s="15">
        <f t="shared" si="548"/>
        <v>97</v>
      </c>
      <c r="B100">
        <v>-1.1760428057670615</v>
      </c>
      <c r="C100">
        <f>5+0.4*C99+B100</f>
        <v>6.58135765538192</v>
      </c>
    </row>
    <row r="101">
      <c r="A101" s="15">
        <f t="shared" ref="A101:A103" si="550">A100+1</f>
        <v>98</v>
      </c>
      <c r="B101">
        <v>-0.90942951113553827</v>
      </c>
      <c r="C101">
        <f t="shared" ref="C101:C103" si="551">5+0.4*C100+B101</f>
        <v>6.7231135510172297</v>
      </c>
    </row>
    <row r="102">
      <c r="A102" s="15">
        <f t="shared" si="550"/>
        <v>99</v>
      </c>
      <c r="B102">
        <v>-2.0861429707489747</v>
      </c>
      <c r="C102">
        <f t="shared" si="551"/>
        <v>5.6031024496579098</v>
      </c>
    </row>
    <row r="103">
      <c r="A103" s="15">
        <f t="shared" si="550"/>
        <v>100</v>
      </c>
      <c r="B103" s="14">
        <v>1.0086025406962058</v>
      </c>
      <c r="C103" s="14">
        <f t="shared" si="551"/>
        <v>8.2498435205593701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81" zoomScale="100" workbookViewId="0">
      <selection activeCell="I103" activeCellId="0" sqref="I103"/>
    </sheetView>
  </sheetViews>
  <sheetFormatPr defaultRowHeight="14.25"/>
  <cols>
    <col customWidth="1" min="1" max="1" width="3.8125"/>
    <col customWidth="1" min="3" max="3" width="3.8125"/>
    <col customWidth="1" min="4" max="4" width="3.723214"/>
    <col customWidth="1" min="6" max="6" width="2.723214"/>
    <col customWidth="1" min="8" max="8" width="2.723214"/>
    <col customWidth="1" min="10" max="10" width="4.2678570000000002"/>
    <col customWidth="1" min="14" max="14" width="4"/>
    <col customWidth="1" min="15" max="15" width="9.1785709999999998"/>
  </cols>
  <sheetData>
    <row r="1">
      <c r="A1" s="1" t="s">
        <v>439</v>
      </c>
    </row>
    <row r="3">
      <c r="B3" s="4" t="s">
        <v>343</v>
      </c>
      <c r="D3" s="4" t="s">
        <v>440</v>
      </c>
      <c r="E3" s="4"/>
      <c r="G3" s="4" t="s">
        <v>343</v>
      </c>
      <c r="I3" s="4" t="s">
        <v>441</v>
      </c>
      <c r="J3" s="15"/>
      <c r="K3" s="4" t="s">
        <v>442</v>
      </c>
      <c r="L3" s="4" t="s">
        <v>443</v>
      </c>
      <c r="M3" s="4" t="s">
        <v>342</v>
      </c>
      <c r="O3" s="4" t="s">
        <v>212</v>
      </c>
    </row>
    <row r="4">
      <c r="A4">
        <v>1</v>
      </c>
      <c r="B4">
        <f>'AR 1'!C4</f>
        <v>4.3021475051980804</v>
      </c>
      <c r="K4">
        <f t="shared" ref="K4:K9" si="552">B4</f>
        <v>4.3021475051980804</v>
      </c>
      <c r="O4">
        <f>SUMSQ(M5:M103)</f>
        <v>126.60512044357201</v>
      </c>
    </row>
    <row r="5">
      <c r="A5">
        <f t="shared" ref="A5:A10" si="553">A4+1</f>
        <v>2</v>
      </c>
      <c r="B5">
        <f>'AR 1'!C5</f>
        <v>6.1430149110931298</v>
      </c>
      <c r="D5" s="5">
        <v>1</v>
      </c>
      <c r="E5" s="6">
        <f t="shared" ref="E5:E10" si="554">B4</f>
        <v>4.3021475051980804</v>
      </c>
      <c r="G5" s="7">
        <f t="shared" ref="G5:G9" si="555">B5</f>
        <v>6.1430149110931298</v>
      </c>
      <c r="I5" s="7">
        <f t="array" ref="I5:I6">MMULT(MINVERSE(MMULT(TRANSPOSE(D5:E103),D5:E103)),MMULT(TRANSPOSE(D5:E103),G5:G103))</f>
        <v>5.0225268283083402</v>
      </c>
      <c r="K5">
        <f t="shared" si="552"/>
        <v>6.1430149110931298</v>
      </c>
      <c r="L5">
        <f t="shared" ref="L5:L10" si="556">I$5+K4*I$6</f>
        <v>6.7191970540350301</v>
      </c>
      <c r="M5">
        <f t="shared" ref="M5:M9" si="557">K5-L5</f>
        <v>-0.57618214294189996</v>
      </c>
    </row>
    <row r="6">
      <c r="A6">
        <f t="shared" si="553"/>
        <v>3</v>
      </c>
      <c r="B6">
        <f>'AR 1'!C6</f>
        <v>6.3459572674893696</v>
      </c>
      <c r="D6" s="8">
        <v>1</v>
      </c>
      <c r="E6" s="9">
        <f t="shared" si="554"/>
        <v>6.1430149110931298</v>
      </c>
      <c r="G6" s="10">
        <f t="shared" si="555"/>
        <v>6.3459572674893696</v>
      </c>
      <c r="I6" s="13">
        <f/>
        <v>0.39437751115615799</v>
      </c>
      <c r="K6">
        <f t="shared" si="552"/>
        <v>6.3459572674893696</v>
      </c>
      <c r="L6">
        <f t="shared" si="556"/>
        <v>7.4451937599404197</v>
      </c>
      <c r="M6">
        <f t="shared" si="557"/>
        <v>-1.09923649245105</v>
      </c>
      <c r="O6" s="4" t="s">
        <v>444</v>
      </c>
    </row>
    <row r="7">
      <c r="A7">
        <f t="shared" si="553"/>
        <v>4</v>
      </c>
      <c r="B7">
        <f>'AR 1'!C7</f>
        <v>6.9780493152929903</v>
      </c>
      <c r="D7" s="8">
        <v>1</v>
      </c>
      <c r="E7" s="9">
        <f t="shared" si="554"/>
        <v>6.3459572674893696</v>
      </c>
      <c r="G7" s="10">
        <f t="shared" si="555"/>
        <v>6.9780493152929903</v>
      </c>
      <c r="K7">
        <f t="shared" si="552"/>
        <v>6.9780493152929903</v>
      </c>
      <c r="L7">
        <f t="shared" si="556"/>
        <v>7.5252296613641301</v>
      </c>
      <c r="M7">
        <f t="shared" si="557"/>
        <v>-0.54718034607113997</v>
      </c>
      <c r="O7">
        <f>AVERAGE(M5:M103)</f>
        <v>-1.1156059241384911e-14</v>
      </c>
    </row>
    <row r="8">
      <c r="A8">
        <f t="shared" si="553"/>
        <v>5</v>
      </c>
      <c r="B8">
        <f>'AR 1'!C8</f>
        <v>9.4477537014508499</v>
      </c>
      <c r="D8" s="8">
        <v>1</v>
      </c>
      <c r="E8" s="9">
        <f t="shared" si="554"/>
        <v>6.9780493152929903</v>
      </c>
      <c r="G8" s="10">
        <f t="shared" si="555"/>
        <v>9.4477537014508499</v>
      </c>
      <c r="K8">
        <f t="shared" si="552"/>
        <v>9.4477537014508499</v>
      </c>
      <c r="L8">
        <f t="shared" si="556"/>
        <v>7.7745125499985202</v>
      </c>
      <c r="M8">
        <f t="shared" si="557"/>
        <v>1.67324115145233</v>
      </c>
    </row>
    <row r="9">
      <c r="A9">
        <f t="shared" si="553"/>
        <v>6</v>
      </c>
      <c r="B9">
        <f>'AR 1'!C9</f>
        <v>8.3642522446696201</v>
      </c>
      <c r="D9" s="8">
        <v>1</v>
      </c>
      <c r="E9" s="9">
        <f t="shared" si="554"/>
        <v>9.4477537014508499</v>
      </c>
      <c r="G9" s="10">
        <f t="shared" si="555"/>
        <v>8.3642522446696201</v>
      </c>
      <c r="K9">
        <f t="shared" si="552"/>
        <v>8.3642522446696201</v>
      </c>
      <c r="L9">
        <f t="shared" si="556"/>
        <v>8.7485084191029099</v>
      </c>
      <c r="M9">
        <f t="shared" si="557"/>
        <v>-0.38425617443329002</v>
      </c>
      <c r="O9" s="4" t="s">
        <v>445</v>
      </c>
    </row>
    <row r="10">
      <c r="A10">
        <f t="shared" si="553"/>
        <v>7</v>
      </c>
      <c r="B10">
        <f>'AR 1'!C10</f>
        <v>7.0707696895845498</v>
      </c>
      <c r="D10" s="8">
        <v>1</v>
      </c>
      <c r="E10" s="9">
        <f t="shared" si="554"/>
        <v>8.3642522446696201</v>
      </c>
      <c r="G10" s="10">
        <f t="shared" ref="G10:G73" si="558">B10</f>
        <v>7.0707696895845498</v>
      </c>
      <c r="K10">
        <f t="shared" ref="K10:K73" si="559">B10</f>
        <v>7.0707696895845498</v>
      </c>
      <c r="L10">
        <f t="shared" si="556"/>
        <v>8.3211998112434493</v>
      </c>
      <c r="M10">
        <f t="shared" ref="M10:M73" si="560">K10-L10</f>
        <v>-1.2504301216589</v>
      </c>
      <c r="O10">
        <f>VAR(M5:M103)</f>
        <v>1.2918889841180801</v>
      </c>
    </row>
    <row r="11">
      <c r="A11">
        <f t="shared" ref="A11:A74" si="561">A10+1</f>
        <v>8</v>
      </c>
      <c r="B11">
        <f>'AR 1'!C11</f>
        <v>7.02237249311026</v>
      </c>
      <c r="D11" s="8">
        <v>1</v>
      </c>
      <c r="E11" s="9">
        <f t="shared" ref="E11:E74" si="562">B10</f>
        <v>7.0707696895845498</v>
      </c>
      <c r="G11" s="10">
        <f t="shared" si="558"/>
        <v>7.02237249311026</v>
      </c>
      <c r="K11">
        <f t="shared" si="559"/>
        <v>7.02237249311026</v>
      </c>
      <c r="L11">
        <f t="shared" ref="L11:L74" si="563">I$5+K10*I$6</f>
        <v>7.8110793804450998</v>
      </c>
      <c r="M11">
        <f t="shared" si="560"/>
        <v>-0.78870688733483996</v>
      </c>
    </row>
    <row r="12">
      <c r="A12">
        <f t="shared" si="561"/>
        <v>9</v>
      </c>
      <c r="B12">
        <f>'AR 1'!C12</f>
        <v>7.6294074398052798</v>
      </c>
      <c r="D12" s="8">
        <v>1</v>
      </c>
      <c r="E12" s="9">
        <f t="shared" si="562"/>
        <v>7.02237249311026</v>
      </c>
      <c r="G12" s="10">
        <f t="shared" si="558"/>
        <v>7.6294074398052798</v>
      </c>
      <c r="K12">
        <f t="shared" si="559"/>
        <v>7.6294074398052798</v>
      </c>
      <c r="L12">
        <f t="shared" si="563"/>
        <v>7.7919926145526297</v>
      </c>
      <c r="M12">
        <f t="shared" si="560"/>
        <v>-0.16258517474734999</v>
      </c>
    </row>
    <row r="13">
      <c r="A13">
        <f t="shared" si="561"/>
        <v>10</v>
      </c>
      <c r="B13">
        <f>'AR 1'!C13</f>
        <v>7.4517411771940001</v>
      </c>
      <c r="D13" s="8">
        <v>1</v>
      </c>
      <c r="E13" s="9">
        <f t="shared" si="562"/>
        <v>7.6294074398052798</v>
      </c>
      <c r="G13" s="10">
        <f t="shared" si="558"/>
        <v>7.4517411771940001</v>
      </c>
      <c r="K13">
        <f t="shared" si="559"/>
        <v>7.4517411771940001</v>
      </c>
      <c r="L13">
        <f t="shared" si="563"/>
        <v>8.0313935460150194</v>
      </c>
      <c r="M13">
        <f t="shared" si="560"/>
        <v>-0.579652368821019</v>
      </c>
    </row>
    <row r="14">
      <c r="A14">
        <f t="shared" si="561"/>
        <v>11</v>
      </c>
      <c r="B14">
        <f>'AR 1'!C14</f>
        <v>7.3130631313404697</v>
      </c>
      <c r="D14" s="8">
        <v>1</v>
      </c>
      <c r="E14" s="9">
        <f t="shared" si="562"/>
        <v>7.4517411771940001</v>
      </c>
      <c r="G14" s="10">
        <f t="shared" si="558"/>
        <v>7.3130631313404697</v>
      </c>
      <c r="K14">
        <f t="shared" si="559"/>
        <v>7.3130631313404697</v>
      </c>
      <c r="L14">
        <f t="shared" si="563"/>
        <v>7.9613259675499704</v>
      </c>
      <c r="M14">
        <f t="shared" si="560"/>
        <v>-0.64826283620950098</v>
      </c>
    </row>
    <row r="15">
      <c r="A15">
        <f t="shared" si="561"/>
        <v>12</v>
      </c>
      <c r="B15">
        <f>'AR 1'!C15</f>
        <v>6.7369511871069498</v>
      </c>
      <c r="D15" s="8">
        <v>1</v>
      </c>
      <c r="E15" s="9">
        <f t="shared" si="562"/>
        <v>7.3130631313404697</v>
      </c>
      <c r="G15" s="10">
        <f t="shared" si="558"/>
        <v>6.7369511871069498</v>
      </c>
      <c r="K15">
        <f t="shared" si="559"/>
        <v>6.7369511871069498</v>
      </c>
      <c r="L15">
        <f t="shared" si="563"/>
        <v>7.9066344649742497</v>
      </c>
      <c r="M15">
        <f t="shared" si="560"/>
        <v>-1.1696832778673001</v>
      </c>
    </row>
    <row r="16">
      <c r="A16">
        <f t="shared" si="561"/>
        <v>13</v>
      </c>
      <c r="B16">
        <f>'AR 1'!C16</f>
        <v>7.6354174876257801</v>
      </c>
      <c r="D16" s="8">
        <v>1</v>
      </c>
      <c r="E16" s="9">
        <f t="shared" si="562"/>
        <v>6.7369511871069498</v>
      </c>
      <c r="G16" s="10">
        <f t="shared" si="558"/>
        <v>7.6354174876257801</v>
      </c>
      <c r="K16">
        <f t="shared" si="559"/>
        <v>7.6354174876257801</v>
      </c>
      <c r="L16">
        <f t="shared" si="563"/>
        <v>7.6794288702601001</v>
      </c>
      <c r="M16">
        <f t="shared" si="560"/>
        <v>-4.4011382634320001e-02</v>
      </c>
    </row>
    <row r="17">
      <c r="A17">
        <f t="shared" si="561"/>
        <v>14</v>
      </c>
      <c r="B17">
        <f>'AR 1'!C17</f>
        <v>8.3342560076615904</v>
      </c>
      <c r="D17" s="8">
        <v>1</v>
      </c>
      <c r="E17" s="9">
        <f t="shared" si="562"/>
        <v>7.6354174876257801</v>
      </c>
      <c r="G17" s="10">
        <f t="shared" si="558"/>
        <v>8.3342560076615904</v>
      </c>
      <c r="K17">
        <f t="shared" si="559"/>
        <v>8.3342560076615904</v>
      </c>
      <c r="L17">
        <f t="shared" si="563"/>
        <v>8.0337637737163998</v>
      </c>
      <c r="M17">
        <f t="shared" si="560"/>
        <v>0.30049223394519098</v>
      </c>
    </row>
    <row r="18">
      <c r="A18">
        <f t="shared" si="561"/>
        <v>15</v>
      </c>
      <c r="B18">
        <f>'AR 1'!C18</f>
        <v>8.5141776386100894</v>
      </c>
      <c r="D18" s="8">
        <v>1</v>
      </c>
      <c r="E18" s="9">
        <f t="shared" si="562"/>
        <v>8.3342560076615904</v>
      </c>
      <c r="G18" s="10">
        <f t="shared" si="558"/>
        <v>8.5141776386100894</v>
      </c>
      <c r="K18">
        <f t="shared" si="559"/>
        <v>8.5141776386100894</v>
      </c>
      <c r="L18">
        <f t="shared" si="563"/>
        <v>8.3093699699481807</v>
      </c>
      <c r="M18">
        <f t="shared" si="560"/>
        <v>0.204807668661909</v>
      </c>
    </row>
    <row r="19">
      <c r="A19">
        <f t="shared" si="561"/>
        <v>16</v>
      </c>
      <c r="B19">
        <f>'AR 1'!C19</f>
        <v>9.4761147740463993</v>
      </c>
      <c r="D19" s="8">
        <v>1</v>
      </c>
      <c r="E19" s="9">
        <f t="shared" si="562"/>
        <v>8.5141776386100894</v>
      </c>
      <c r="G19" s="10">
        <f t="shared" si="558"/>
        <v>9.4761147740463993</v>
      </c>
      <c r="K19">
        <f t="shared" si="559"/>
        <v>9.4761147740463993</v>
      </c>
      <c r="L19">
        <f t="shared" si="563"/>
        <v>8.3803270149648004</v>
      </c>
      <c r="M19">
        <f t="shared" si="560"/>
        <v>1.0957877590816001</v>
      </c>
    </row>
    <row r="20">
      <c r="A20">
        <f t="shared" si="561"/>
        <v>17</v>
      </c>
      <c r="B20">
        <f>'AR 1'!C20</f>
        <v>8.4497227967860198</v>
      </c>
      <c r="D20" s="8">
        <v>1</v>
      </c>
      <c r="E20" s="9">
        <f t="shared" si="562"/>
        <v>9.4761147740463993</v>
      </c>
      <c r="G20" s="10">
        <f t="shared" si="558"/>
        <v>8.4497227967860198</v>
      </c>
      <c r="K20">
        <f t="shared" si="559"/>
        <v>8.4497227967860198</v>
      </c>
      <c r="L20">
        <f t="shared" si="563"/>
        <v>8.7596933883268608</v>
      </c>
      <c r="M20">
        <f t="shared" si="560"/>
        <v>-0.309970591540841</v>
      </c>
    </row>
    <row r="21">
      <c r="A21">
        <f t="shared" si="561"/>
        <v>18</v>
      </c>
      <c r="B21">
        <f>'AR 1'!C21</f>
        <v>9.5044632194121306</v>
      </c>
      <c r="D21" s="8">
        <v>1</v>
      </c>
      <c r="E21" s="9">
        <f t="shared" si="562"/>
        <v>8.4497227967860198</v>
      </c>
      <c r="G21" s="10">
        <f t="shared" si="558"/>
        <v>9.5044632194121306</v>
      </c>
      <c r="K21">
        <f t="shared" si="559"/>
        <v>9.5044632194121306</v>
      </c>
      <c r="L21">
        <f t="shared" si="563"/>
        <v>8.3549074748642607</v>
      </c>
      <c r="M21">
        <f t="shared" si="560"/>
        <v>1.1495557445478699</v>
      </c>
    </row>
    <row r="22">
      <c r="A22">
        <f t="shared" si="561"/>
        <v>19</v>
      </c>
      <c r="B22">
        <f>'AR 1'!C22</f>
        <v>6.6676010752525503</v>
      </c>
      <c r="D22" s="8">
        <v>1</v>
      </c>
      <c r="E22" s="9">
        <f t="shared" si="562"/>
        <v>9.5044632194121306</v>
      </c>
      <c r="G22" s="10">
        <f t="shared" si="558"/>
        <v>6.6676010752525503</v>
      </c>
      <c r="K22">
        <f t="shared" si="559"/>
        <v>6.6676010752525503</v>
      </c>
      <c r="L22">
        <f t="shared" si="563"/>
        <v>8.7708733776553398</v>
      </c>
      <c r="M22">
        <f t="shared" si="560"/>
        <v>-2.10327230240279</v>
      </c>
      <c r="O22" t="s">
        <v>446</v>
      </c>
      <c r="P22" s="7" t="e">
        <v>#NAME?</v>
      </c>
    </row>
    <row r="23">
      <c r="A23">
        <f t="shared" si="561"/>
        <v>20</v>
      </c>
      <c r="B23">
        <f>'AR 1'!C23</f>
        <v>7.8523156414806703</v>
      </c>
      <c r="D23" s="8">
        <v>1</v>
      </c>
      <c r="E23" s="9">
        <f t="shared" si="562"/>
        <v>6.6676010752525503</v>
      </c>
      <c r="G23" s="10">
        <f t="shared" si="558"/>
        <v>7.8523156414806703</v>
      </c>
      <c r="K23">
        <f t="shared" si="559"/>
        <v>7.8523156414806703</v>
      </c>
      <c r="L23">
        <f t="shared" si="563"/>
        <v>7.6520787457485602</v>
      </c>
      <c r="M23">
        <f t="shared" si="560"/>
        <v>0.20023689573211004</v>
      </c>
      <c r="O23" t="s">
        <v>447</v>
      </c>
      <c r="P23" s="10" t="e">
        <v>#NAME?</v>
      </c>
    </row>
    <row r="24">
      <c r="A24">
        <f t="shared" si="561"/>
        <v>21</v>
      </c>
      <c r="B24">
        <f>'AR 1'!C24</f>
        <v>7.91886241716497</v>
      </c>
      <c r="D24" s="8">
        <v>1</v>
      </c>
      <c r="E24" s="9">
        <f t="shared" si="562"/>
        <v>7.8523156414806703</v>
      </c>
      <c r="G24" s="10">
        <f t="shared" si="558"/>
        <v>7.91886241716497</v>
      </c>
      <c r="K24">
        <f t="shared" si="559"/>
        <v>7.91886241716497</v>
      </c>
      <c r="L24">
        <f t="shared" si="563"/>
        <v>8.1193035278080607</v>
      </c>
      <c r="M24">
        <f t="shared" si="560"/>
        <v>-0.200441110643091</v>
      </c>
      <c r="O24" t="s">
        <v>283</v>
      </c>
      <c r="P24" s="10">
        <f>AVERAGE(B4:B103)</f>
        <v>8.2275470269258193</v>
      </c>
    </row>
    <row r="25">
      <c r="A25">
        <f t="shared" si="561"/>
        <v>22</v>
      </c>
      <c r="B25">
        <f>'AR 1'!C25</f>
        <v>8.7725861312320106</v>
      </c>
      <c r="D25" s="8">
        <v>1</v>
      </c>
      <c r="E25" s="9">
        <f t="shared" si="562"/>
        <v>7.91886241716497</v>
      </c>
      <c r="G25" s="10">
        <f t="shared" si="558"/>
        <v>8.7725861312320106</v>
      </c>
      <c r="K25">
        <f t="shared" si="559"/>
        <v>8.7725861312320106</v>
      </c>
      <c r="L25">
        <f t="shared" si="563"/>
        <v>8.1455480795778996</v>
      </c>
      <c r="M25">
        <f t="shared" si="560"/>
        <v>0.62703805165411097</v>
      </c>
      <c r="O25" t="s">
        <v>448</v>
      </c>
      <c r="P25" s="10" t="e">
        <f>P24*(1-P26)</f>
        <v>#NAME?</v>
      </c>
    </row>
    <row r="26">
      <c r="A26">
        <f t="shared" si="561"/>
        <v>23</v>
      </c>
      <c r="B26">
        <f>'AR 1'!C26</f>
        <v>10.918097347819099</v>
      </c>
      <c r="D26" s="8">
        <v>1</v>
      </c>
      <c r="E26" s="9">
        <f t="shared" si="562"/>
        <v>8.7725861312320106</v>
      </c>
      <c r="G26" s="10">
        <f t="shared" si="558"/>
        <v>10.918097347819099</v>
      </c>
      <c r="K26">
        <f t="shared" si="559"/>
        <v>10.918097347819099</v>
      </c>
      <c r="L26">
        <f t="shared" si="563"/>
        <v>8.4822375131466501</v>
      </c>
      <c r="M26">
        <f t="shared" si="560"/>
        <v>2.43585983467245</v>
      </c>
      <c r="O26" t="s">
        <v>449</v>
      </c>
      <c r="P26" s="13" t="e">
        <f>P22</f>
        <v>#NAME?</v>
      </c>
    </row>
    <row r="27">
      <c r="A27">
        <f t="shared" si="561"/>
        <v>24</v>
      </c>
      <c r="B27">
        <f>'AR 1'!C27</f>
        <v>9.1393820365107903</v>
      </c>
      <c r="D27" s="8">
        <v>1</v>
      </c>
      <c r="E27" s="9">
        <f t="shared" si="562"/>
        <v>10.918097347819099</v>
      </c>
      <c r="G27" s="10">
        <f t="shared" si="558"/>
        <v>9.1393820365107903</v>
      </c>
      <c r="K27">
        <f t="shared" si="559"/>
        <v>9.1393820365107903</v>
      </c>
      <c r="L27">
        <f t="shared" si="563"/>
        <v>9.3283788869018895</v>
      </c>
      <c r="M27">
        <f t="shared" si="560"/>
        <v>-0.18899685039109901</v>
      </c>
    </row>
    <row r="28">
      <c r="A28">
        <f t="shared" si="561"/>
        <v>25</v>
      </c>
      <c r="B28">
        <f>'AR 1'!C28</f>
        <v>10.1490569023916</v>
      </c>
      <c r="D28" s="8">
        <v>1</v>
      </c>
      <c r="E28" s="9">
        <f t="shared" si="562"/>
        <v>9.1393820365107903</v>
      </c>
      <c r="G28" s="10">
        <f t="shared" si="558"/>
        <v>10.1490569023916</v>
      </c>
      <c r="K28">
        <f t="shared" si="559"/>
        <v>10.1490569023916</v>
      </c>
      <c r="L28">
        <f t="shared" si="563"/>
        <v>8.6268935693727595</v>
      </c>
      <c r="M28">
        <f t="shared" si="560"/>
        <v>1.52216333301884</v>
      </c>
    </row>
    <row r="29">
      <c r="A29">
        <f t="shared" si="561"/>
        <v>26</v>
      </c>
      <c r="B29">
        <f>'AR 1'!C29</f>
        <v>9.7731168391438796</v>
      </c>
      <c r="D29" s="8">
        <v>1</v>
      </c>
      <c r="E29" s="9">
        <f t="shared" si="562"/>
        <v>10.1490569023916</v>
      </c>
      <c r="G29" s="10">
        <f t="shared" si="558"/>
        <v>9.7731168391438796</v>
      </c>
      <c r="K29">
        <f t="shared" si="559"/>
        <v>9.7731168391438796</v>
      </c>
      <c r="L29">
        <f t="shared" si="563"/>
        <v>9.0250866300557693</v>
      </c>
      <c r="M29">
        <f t="shared" si="560"/>
        <v>0.74803020908811002</v>
      </c>
    </row>
    <row r="30">
      <c r="A30">
        <f t="shared" si="561"/>
        <v>27</v>
      </c>
      <c r="B30">
        <f>'AR 1'!C30</f>
        <v>8.1440033012883895</v>
      </c>
      <c r="D30" s="8">
        <v>1</v>
      </c>
      <c r="E30" s="9">
        <f t="shared" si="562"/>
        <v>9.7731168391438796</v>
      </c>
      <c r="G30" s="10">
        <f t="shared" si="558"/>
        <v>8.1440033012883895</v>
      </c>
      <c r="K30">
        <f t="shared" si="559"/>
        <v>8.1440033012883895</v>
      </c>
      <c r="L30">
        <f t="shared" si="563"/>
        <v>8.8768243235682398</v>
      </c>
      <c r="M30">
        <f t="shared" si="560"/>
        <v>-0.73282102227985002</v>
      </c>
    </row>
    <row r="31">
      <c r="A31">
        <f t="shared" si="561"/>
        <v>28</v>
      </c>
      <c r="B31">
        <f>'AR 1'!C31</f>
        <v>6.8385003764253502</v>
      </c>
      <c r="D31" s="8">
        <v>1</v>
      </c>
      <c r="E31" s="9">
        <f t="shared" si="562"/>
        <v>8.1440033012883895</v>
      </c>
      <c r="G31" s="10">
        <f t="shared" si="558"/>
        <v>6.8385003764253502</v>
      </c>
      <c r="K31">
        <f t="shared" si="559"/>
        <v>6.8385003764253502</v>
      </c>
      <c r="L31">
        <f t="shared" si="563"/>
        <v>8.2343385811179903</v>
      </c>
      <c r="M31">
        <f t="shared" si="560"/>
        <v>-1.3958382046926401</v>
      </c>
    </row>
    <row r="32">
      <c r="A32">
        <f t="shared" si="561"/>
        <v>29</v>
      </c>
      <c r="B32">
        <f>'AR 1'!C32</f>
        <v>9.2094371369449508</v>
      </c>
      <c r="D32" s="8">
        <v>1</v>
      </c>
      <c r="E32" s="9">
        <f t="shared" si="562"/>
        <v>6.8385003764253502</v>
      </c>
      <c r="G32" s="10">
        <f t="shared" si="558"/>
        <v>9.2094371369449508</v>
      </c>
      <c r="K32">
        <f t="shared" si="559"/>
        <v>9.2094371369449508</v>
      </c>
      <c r="L32">
        <f t="shared" si="563"/>
        <v>7.7194775868034204</v>
      </c>
      <c r="M32">
        <f t="shared" si="560"/>
        <v>1.4899595501415299</v>
      </c>
    </row>
    <row r="33">
      <c r="A33">
        <f t="shared" si="561"/>
        <v>30</v>
      </c>
      <c r="B33">
        <f>'AR 1'!C33</f>
        <v>8.8371485520723105</v>
      </c>
      <c r="D33" s="8">
        <v>1</v>
      </c>
      <c r="E33" s="9">
        <f t="shared" si="562"/>
        <v>9.2094371369449508</v>
      </c>
      <c r="G33" s="10">
        <f t="shared" si="558"/>
        <v>8.8371485520723105</v>
      </c>
      <c r="K33">
        <f t="shared" si="559"/>
        <v>8.8371485520723105</v>
      </c>
      <c r="L33">
        <f t="shared" si="563"/>
        <v>8.6545217255257807</v>
      </c>
      <c r="M33">
        <f t="shared" si="560"/>
        <v>0.18262682654653001</v>
      </c>
    </row>
    <row r="34">
      <c r="A34">
        <f t="shared" si="561"/>
        <v>31</v>
      </c>
      <c r="B34">
        <f>'AR 1'!C34</f>
        <v>7.6209294629535398</v>
      </c>
      <c r="D34" s="8">
        <v>1</v>
      </c>
      <c r="E34" s="9">
        <f t="shared" si="562"/>
        <v>8.8371485520723105</v>
      </c>
      <c r="G34" s="10">
        <f t="shared" si="558"/>
        <v>7.6209294629535398</v>
      </c>
      <c r="K34">
        <f t="shared" si="559"/>
        <v>7.6209294629535398</v>
      </c>
      <c r="L34">
        <f t="shared" si="563"/>
        <v>8.5076994799918602</v>
      </c>
      <c r="M34">
        <f t="shared" si="560"/>
        <v>-0.88677001703832103</v>
      </c>
    </row>
    <row r="35">
      <c r="A35">
        <f t="shared" si="561"/>
        <v>32</v>
      </c>
      <c r="B35">
        <f>'AR 1'!C35</f>
        <v>7.7901579994514103</v>
      </c>
      <c r="D35" s="8">
        <v>1</v>
      </c>
      <c r="E35" s="9">
        <f t="shared" si="562"/>
        <v>7.6209294629535398</v>
      </c>
      <c r="G35" s="10">
        <f t="shared" si="558"/>
        <v>7.7901579994514103</v>
      </c>
      <c r="K35">
        <f t="shared" si="559"/>
        <v>7.7901579994514103</v>
      </c>
      <c r="L35">
        <f t="shared" si="563"/>
        <v>8.0280500226045906</v>
      </c>
      <c r="M35">
        <f t="shared" si="560"/>
        <v>-0.23789202315317998</v>
      </c>
    </row>
    <row r="36">
      <c r="A36">
        <f t="shared" si="561"/>
        <v>33</v>
      </c>
      <c r="B36">
        <f>'AR 1'!C36</f>
        <v>7.6194519683144497</v>
      </c>
      <c r="D36" s="8">
        <v>1</v>
      </c>
      <c r="E36" s="9">
        <f t="shared" si="562"/>
        <v>7.7901579994514103</v>
      </c>
      <c r="G36" s="10">
        <f t="shared" si="558"/>
        <v>7.6194519683144497</v>
      </c>
      <c r="K36">
        <f t="shared" si="559"/>
        <v>7.6194519683144497</v>
      </c>
      <c r="L36">
        <f t="shared" si="563"/>
        <v>8.09478995164522</v>
      </c>
      <c r="M36">
        <f t="shared" si="560"/>
        <v>-0.47533798333076999</v>
      </c>
    </row>
    <row r="37">
      <c r="A37">
        <f t="shared" si="561"/>
        <v>34</v>
      </c>
      <c r="B37">
        <f>'AR 1'!C37</f>
        <v>9.1279008810493103</v>
      </c>
      <c r="D37" s="8">
        <v>1</v>
      </c>
      <c r="E37" s="9">
        <f t="shared" si="562"/>
        <v>7.6194519683144497</v>
      </c>
      <c r="G37" s="10">
        <f t="shared" si="558"/>
        <v>9.1279008810493103</v>
      </c>
      <c r="K37">
        <f t="shared" si="559"/>
        <v>9.1279008810493103</v>
      </c>
      <c r="L37">
        <f t="shared" si="563"/>
        <v>8.0274673319460792</v>
      </c>
      <c r="M37">
        <f t="shared" si="560"/>
        <v>1.10043354910323</v>
      </c>
    </row>
    <row r="38">
      <c r="A38">
        <f t="shared" si="561"/>
        <v>35</v>
      </c>
      <c r="B38">
        <f>'AR 1'!C38</f>
        <v>9.2788576197719195</v>
      </c>
      <c r="D38" s="8">
        <v>1</v>
      </c>
      <c r="E38" s="9">
        <f t="shared" si="562"/>
        <v>9.1279008810493103</v>
      </c>
      <c r="G38" s="10">
        <f t="shared" si="558"/>
        <v>9.2788576197719195</v>
      </c>
      <c r="K38">
        <f t="shared" si="559"/>
        <v>9.2788576197719195</v>
      </c>
      <c r="L38">
        <f t="shared" si="563"/>
        <v>8.6223656598566691</v>
      </c>
      <c r="M38">
        <f t="shared" si="560"/>
        <v>0.65649195991525</v>
      </c>
    </row>
    <row r="39">
      <c r="A39">
        <f t="shared" si="561"/>
        <v>36</v>
      </c>
      <c r="B39">
        <f>'AR 1'!C39</f>
        <v>8.6643591532989994</v>
      </c>
      <c r="D39" s="8">
        <v>1</v>
      </c>
      <c r="E39" s="9">
        <f t="shared" si="562"/>
        <v>9.2788576197719195</v>
      </c>
      <c r="G39" s="10">
        <f t="shared" si="558"/>
        <v>8.6643591532989994</v>
      </c>
      <c r="K39">
        <f t="shared" si="559"/>
        <v>8.6643591532989994</v>
      </c>
      <c r="L39">
        <f t="shared" si="563"/>
        <v>8.6818996027663395</v>
      </c>
      <c r="M39">
        <f t="shared" si="560"/>
        <v>-1.754044946734e-02</v>
      </c>
    </row>
    <row r="40">
      <c r="A40">
        <f t="shared" si="561"/>
        <v>37</v>
      </c>
      <c r="B40">
        <f>'AR 1'!C40</f>
        <v>9.7255313464083297</v>
      </c>
      <c r="D40" s="8">
        <v>1</v>
      </c>
      <c r="E40" s="9">
        <f t="shared" si="562"/>
        <v>8.6643591532989994</v>
      </c>
      <c r="G40" s="10">
        <f t="shared" si="558"/>
        <v>9.7255313464083297</v>
      </c>
      <c r="K40">
        <f t="shared" si="559"/>
        <v>9.7255313464083297</v>
      </c>
      <c r="L40">
        <f t="shared" si="563"/>
        <v>8.43955522694948</v>
      </c>
      <c r="M40">
        <f t="shared" si="560"/>
        <v>1.2859761194588499</v>
      </c>
    </row>
    <row r="41">
      <c r="A41">
        <f t="shared" si="561"/>
        <v>38</v>
      </c>
      <c r="B41">
        <f>'AR 1'!C41</f>
        <v>11.406770985884799</v>
      </c>
      <c r="D41" s="8">
        <v>1</v>
      </c>
      <c r="E41" s="9">
        <f t="shared" si="562"/>
        <v>9.7255313464083297</v>
      </c>
      <c r="G41" s="10">
        <f t="shared" si="558"/>
        <v>11.406770985884799</v>
      </c>
      <c r="K41">
        <f t="shared" si="559"/>
        <v>11.406770985884799</v>
      </c>
      <c r="L41">
        <f t="shared" si="563"/>
        <v>8.8580576753760596</v>
      </c>
      <c r="M41">
        <f t="shared" si="560"/>
        <v>2.5487133105087398</v>
      </c>
    </row>
    <row r="42">
      <c r="A42">
        <f t="shared" si="561"/>
        <v>39</v>
      </c>
      <c r="B42">
        <f>'AR 1'!C42</f>
        <v>9.8336619818405797</v>
      </c>
      <c r="D42" s="8">
        <v>1</v>
      </c>
      <c r="E42" s="9">
        <f t="shared" si="562"/>
        <v>11.406770985884799</v>
      </c>
      <c r="G42" s="10">
        <f t="shared" si="558"/>
        <v>9.8336619818405797</v>
      </c>
      <c r="K42">
        <f t="shared" si="559"/>
        <v>9.8336619818405797</v>
      </c>
      <c r="L42">
        <f t="shared" si="563"/>
        <v>9.5211007800498599</v>
      </c>
      <c r="M42">
        <f t="shared" si="560"/>
        <v>0.31256120179072</v>
      </c>
    </row>
    <row r="43">
      <c r="A43">
        <f t="shared" si="561"/>
        <v>40</v>
      </c>
      <c r="B43">
        <f>'AR 1'!C43</f>
        <v>8.4620375217512596</v>
      </c>
      <c r="D43" s="8">
        <v>1</v>
      </c>
      <c r="E43" s="9">
        <f t="shared" si="562"/>
        <v>9.8336619818405797</v>
      </c>
      <c r="G43" s="10">
        <f t="shared" si="558"/>
        <v>8.4620375217512596</v>
      </c>
      <c r="K43">
        <f t="shared" si="559"/>
        <v>8.4620375217512596</v>
      </c>
      <c r="L43">
        <f t="shared" si="563"/>
        <v>8.9007019662575608</v>
      </c>
      <c r="M43">
        <f t="shared" si="560"/>
        <v>-0.43866444450630099</v>
      </c>
    </row>
    <row r="44">
      <c r="A44">
        <f t="shared" si="561"/>
        <v>41</v>
      </c>
      <c r="B44">
        <f>'AR 1'!C44</f>
        <v>7.0338328748821404</v>
      </c>
      <c r="D44" s="8">
        <v>1</v>
      </c>
      <c r="E44" s="9">
        <f t="shared" si="562"/>
        <v>8.4620375217512596</v>
      </c>
      <c r="G44" s="10">
        <f t="shared" si="558"/>
        <v>7.0338328748821404</v>
      </c>
      <c r="K44">
        <f t="shared" si="559"/>
        <v>7.0338328748821404</v>
      </c>
      <c r="L44">
        <f t="shared" si="563"/>
        <v>8.3597641254466293</v>
      </c>
      <c r="M44">
        <f t="shared" si="560"/>
        <v>-1.32593125056449</v>
      </c>
    </row>
    <row r="45">
      <c r="A45">
        <f t="shared" si="561"/>
        <v>42</v>
      </c>
      <c r="B45">
        <f>'AR 1'!C45</f>
        <v>7.2882995736784499</v>
      </c>
      <c r="D45" s="8">
        <v>1</v>
      </c>
      <c r="E45" s="9">
        <f t="shared" si="562"/>
        <v>7.0338328748821404</v>
      </c>
      <c r="G45" s="10">
        <f t="shared" si="558"/>
        <v>7.2882995736784499</v>
      </c>
      <c r="K45">
        <f t="shared" si="559"/>
        <v>7.2882995736784499</v>
      </c>
      <c r="L45">
        <f t="shared" si="563"/>
        <v>7.7965123313927203</v>
      </c>
      <c r="M45">
        <f t="shared" si="560"/>
        <v>-0.50821275771426999</v>
      </c>
    </row>
    <row r="46">
      <c r="A46">
        <f t="shared" si="561"/>
        <v>43</v>
      </c>
      <c r="B46">
        <f>'AR 1'!C46</f>
        <v>8.8866754056650592</v>
      </c>
      <c r="D46" s="8">
        <v>1</v>
      </c>
      <c r="E46" s="9">
        <f t="shared" si="562"/>
        <v>7.2882995736784499</v>
      </c>
      <c r="G46" s="10">
        <f t="shared" si="558"/>
        <v>8.8866754056650592</v>
      </c>
      <c r="K46">
        <f t="shared" si="559"/>
        <v>8.8866754056650592</v>
      </c>
      <c r="L46">
        <f t="shared" si="563"/>
        <v>7.8968682747361401</v>
      </c>
      <c r="M46">
        <f t="shared" si="560"/>
        <v>0.98980713092891892</v>
      </c>
    </row>
    <row r="47">
      <c r="A47">
        <f t="shared" si="561"/>
        <v>44</v>
      </c>
      <c r="B47">
        <f>'AR 1'!C47</f>
        <v>7.4798200466140603</v>
      </c>
      <c r="D47" s="8">
        <v>1</v>
      </c>
      <c r="E47" s="9">
        <f t="shared" si="562"/>
        <v>8.8866754056650592</v>
      </c>
      <c r="G47" s="10">
        <f t="shared" si="558"/>
        <v>7.4798200466140603</v>
      </c>
      <c r="K47">
        <f t="shared" si="559"/>
        <v>7.4798200466140603</v>
      </c>
      <c r="L47">
        <f t="shared" si="563"/>
        <v>8.5272317572471703</v>
      </c>
      <c r="M47">
        <f t="shared" si="560"/>
        <v>-1.04741171063311</v>
      </c>
    </row>
    <row r="48">
      <c r="A48">
        <f t="shared" si="561"/>
        <v>45</v>
      </c>
      <c r="B48">
        <f>'AR 1'!C48</f>
        <v>9.7657383666225108</v>
      </c>
      <c r="D48" s="8">
        <v>1</v>
      </c>
      <c r="E48" s="9">
        <f t="shared" si="562"/>
        <v>7.4798200466140603</v>
      </c>
      <c r="G48" s="10">
        <f t="shared" si="558"/>
        <v>9.7657383666225108</v>
      </c>
      <c r="K48">
        <f t="shared" si="559"/>
        <v>9.7657383666225108</v>
      </c>
      <c r="L48">
        <f t="shared" si="563"/>
        <v>7.9723996421879297</v>
      </c>
      <c r="M48">
        <f t="shared" si="560"/>
        <v>1.79333872443458</v>
      </c>
    </row>
    <row r="49">
      <c r="A49">
        <f t="shared" si="561"/>
        <v>46</v>
      </c>
      <c r="B49">
        <f>'AR 1'!C49</f>
        <v>7.9447003666966003</v>
      </c>
      <c r="D49" s="8">
        <v>1</v>
      </c>
      <c r="E49" s="9">
        <f t="shared" si="562"/>
        <v>9.7657383666225108</v>
      </c>
      <c r="G49" s="10">
        <f t="shared" si="558"/>
        <v>7.9447003666966003</v>
      </c>
      <c r="K49">
        <f t="shared" si="559"/>
        <v>7.9447003666966003</v>
      </c>
      <c r="L49">
        <f t="shared" si="563"/>
        <v>8.8739144199391298</v>
      </c>
      <c r="M49">
        <f t="shared" si="560"/>
        <v>-0.92921405324253004</v>
      </c>
    </row>
    <row r="50">
      <c r="A50">
        <f t="shared" si="561"/>
        <v>47</v>
      </c>
      <c r="B50">
        <f>'AR 1'!C50</f>
        <v>6.8290832554627601</v>
      </c>
      <c r="D50" s="8">
        <v>1</v>
      </c>
      <c r="E50" s="9">
        <f t="shared" si="562"/>
        <v>7.9447003666966003</v>
      </c>
      <c r="G50" s="10">
        <f t="shared" si="558"/>
        <v>6.8290832554627601</v>
      </c>
      <c r="K50">
        <f t="shared" si="559"/>
        <v>6.8290832554627601</v>
      </c>
      <c r="L50">
        <f t="shared" si="563"/>
        <v>8.1557379858075603</v>
      </c>
      <c r="M50">
        <f t="shared" si="560"/>
        <v>-1.3266547303448</v>
      </c>
    </row>
    <row r="51">
      <c r="A51">
        <f t="shared" si="561"/>
        <v>48</v>
      </c>
      <c r="B51">
        <f>'AR 1'!C51</f>
        <v>7.9209790522165502</v>
      </c>
      <c r="D51" s="8">
        <v>1</v>
      </c>
      <c r="E51" s="9">
        <f t="shared" si="562"/>
        <v>6.8290832554627601</v>
      </c>
      <c r="G51" s="10">
        <f t="shared" si="558"/>
        <v>7.9209790522165502</v>
      </c>
      <c r="K51">
        <f t="shared" si="559"/>
        <v>7.9209790522165502</v>
      </c>
      <c r="L51">
        <f t="shared" si="563"/>
        <v>7.71576368607594</v>
      </c>
      <c r="M51">
        <f t="shared" si="560"/>
        <v>0.20521536614061003</v>
      </c>
    </row>
    <row r="52">
      <c r="A52">
        <f t="shared" si="561"/>
        <v>49</v>
      </c>
      <c r="B52">
        <f>'AR 1'!C52</f>
        <v>5.9511980566403997</v>
      </c>
      <c r="D52" s="8">
        <v>1</v>
      </c>
      <c r="E52" s="9">
        <f t="shared" si="562"/>
        <v>7.9209790522165502</v>
      </c>
      <c r="G52" s="10">
        <f t="shared" si="558"/>
        <v>5.9511980566403997</v>
      </c>
      <c r="K52">
        <f t="shared" si="559"/>
        <v>5.9511980566403997</v>
      </c>
      <c r="L52">
        <f t="shared" si="563"/>
        <v>8.1463828328415708</v>
      </c>
      <c r="M52">
        <f t="shared" si="560"/>
        <v>-2.1951847762011698</v>
      </c>
    </row>
    <row r="53">
      <c r="A53">
        <f t="shared" si="561"/>
        <v>50</v>
      </c>
      <c r="B53">
        <f>'AR 1'!C53</f>
        <v>7.2243633792411499</v>
      </c>
      <c r="D53" s="8">
        <v>1</v>
      </c>
      <c r="E53" s="9">
        <f t="shared" si="562"/>
        <v>5.9511980566403997</v>
      </c>
      <c r="G53" s="10">
        <f t="shared" si="558"/>
        <v>7.2243633792411499</v>
      </c>
      <c r="K53">
        <f t="shared" si="559"/>
        <v>7.2243633792411499</v>
      </c>
      <c r="L53">
        <f t="shared" si="563"/>
        <v>7.3695455062835498</v>
      </c>
      <c r="M53">
        <f t="shared" si="560"/>
        <v>-0.14518212704239999</v>
      </c>
    </row>
    <row r="54">
      <c r="A54">
        <f t="shared" si="561"/>
        <v>51</v>
      </c>
      <c r="B54">
        <f>'AR 1'!C54</f>
        <v>8.0384987230282192</v>
      </c>
      <c r="D54" s="8">
        <v>1</v>
      </c>
      <c r="E54" s="9">
        <f t="shared" si="562"/>
        <v>7.2243633792411499</v>
      </c>
      <c r="G54" s="10">
        <f t="shared" si="558"/>
        <v>8.0384987230282192</v>
      </c>
      <c r="K54">
        <f t="shared" si="559"/>
        <v>8.0384987230282192</v>
      </c>
      <c r="L54">
        <f t="shared" si="563"/>
        <v>7.8716532775011601</v>
      </c>
      <c r="M54">
        <f t="shared" si="560"/>
        <v>0.16684544552705899</v>
      </c>
    </row>
    <row r="55">
      <c r="A55">
        <f t="shared" si="561"/>
        <v>52</v>
      </c>
      <c r="B55">
        <f>'AR 1'!C55</f>
        <v>7.7399529278597701</v>
      </c>
      <c r="D55" s="8">
        <v>1</v>
      </c>
      <c r="E55" s="9">
        <f t="shared" si="562"/>
        <v>8.0384987230282192</v>
      </c>
      <c r="G55" s="10">
        <f t="shared" si="558"/>
        <v>7.7399529278597701</v>
      </c>
      <c r="K55">
        <f t="shared" si="559"/>
        <v>7.7399529278597701</v>
      </c>
      <c r="L55">
        <f t="shared" si="563"/>
        <v>8.1927299481281608</v>
      </c>
      <c r="M55">
        <f t="shared" si="560"/>
        <v>-0.45277702026839101</v>
      </c>
    </row>
    <row r="56">
      <c r="A56">
        <f t="shared" si="561"/>
        <v>53</v>
      </c>
      <c r="B56">
        <f>'AR 1'!C56</f>
        <v>8.9551761475345995</v>
      </c>
      <c r="D56" s="8">
        <v>1</v>
      </c>
      <c r="E56" s="9">
        <f t="shared" si="562"/>
        <v>7.7399529278597701</v>
      </c>
      <c r="G56" s="10">
        <f t="shared" si="558"/>
        <v>8.9551761475345995</v>
      </c>
      <c r="K56">
        <f t="shared" si="559"/>
        <v>8.9551761475345995</v>
      </c>
      <c r="L56">
        <f t="shared" si="563"/>
        <v>8.0749902004634908</v>
      </c>
      <c r="M56">
        <f t="shared" si="560"/>
        <v>0.88018594707110898</v>
      </c>
    </row>
    <row r="57">
      <c r="A57">
        <f t="shared" si="561"/>
        <v>54</v>
      </c>
      <c r="B57">
        <f>'AR 1'!C57</f>
        <v>9.9066867108961691</v>
      </c>
      <c r="D57" s="8">
        <v>1</v>
      </c>
      <c r="E57" s="9">
        <f t="shared" si="562"/>
        <v>8.9551761475345995</v>
      </c>
      <c r="G57" s="10">
        <f t="shared" si="558"/>
        <v>9.9066867108961691</v>
      </c>
      <c r="K57">
        <f t="shared" si="559"/>
        <v>9.9066867108961691</v>
      </c>
      <c r="L57">
        <f t="shared" si="563"/>
        <v>8.5542469093380298</v>
      </c>
      <c r="M57">
        <f t="shared" si="560"/>
        <v>1.35243980155814</v>
      </c>
    </row>
    <row r="58">
      <c r="A58">
        <f t="shared" si="561"/>
        <v>55</v>
      </c>
      <c r="B58">
        <f>'AR 1'!C58</f>
        <v>10.1666038105048</v>
      </c>
      <c r="D58" s="8">
        <v>1</v>
      </c>
      <c r="E58" s="9">
        <f t="shared" si="562"/>
        <v>9.9066867108961691</v>
      </c>
      <c r="G58" s="10">
        <f t="shared" si="558"/>
        <v>10.1666038105048</v>
      </c>
      <c r="K58">
        <f t="shared" si="559"/>
        <v>10.1666038105048</v>
      </c>
      <c r="L58">
        <f t="shared" si="563"/>
        <v>8.9295012771553601</v>
      </c>
      <c r="M58">
        <f t="shared" si="560"/>
        <v>1.2371025333494401</v>
      </c>
    </row>
    <row r="59">
      <c r="A59">
        <f t="shared" si="561"/>
        <v>56</v>
      </c>
      <c r="B59">
        <f>'AR 1'!C59</f>
        <v>9.1166011165912906</v>
      </c>
      <c r="D59" s="8">
        <v>1</v>
      </c>
      <c r="E59" s="9">
        <f t="shared" si="562"/>
        <v>10.1666038105048</v>
      </c>
      <c r="G59" s="10">
        <f t="shared" si="558"/>
        <v>9.1166011165912906</v>
      </c>
      <c r="K59">
        <f t="shared" si="559"/>
        <v>9.1166011165912906</v>
      </c>
      <c r="L59">
        <f t="shared" si="563"/>
        <v>9.0320067360059397</v>
      </c>
      <c r="M59">
        <f t="shared" si="560"/>
        <v>8.4594380585351014e-02</v>
      </c>
    </row>
    <row r="60">
      <c r="A60">
        <f t="shared" si="561"/>
        <v>57</v>
      </c>
      <c r="B60">
        <f>'AR 1'!C60</f>
        <v>7.4985374040370196</v>
      </c>
      <c r="D60" s="8">
        <v>1</v>
      </c>
      <c r="E60" s="9">
        <f t="shared" si="562"/>
        <v>9.1166011165912906</v>
      </c>
      <c r="G60" s="10">
        <f t="shared" si="558"/>
        <v>7.4985374040370196</v>
      </c>
      <c r="K60">
        <f t="shared" si="559"/>
        <v>7.4985374040370196</v>
      </c>
      <c r="L60">
        <f t="shared" si="563"/>
        <v>8.6179092868730596</v>
      </c>
      <c r="M60">
        <f t="shared" si="560"/>
        <v>-1.1193718828360399</v>
      </c>
    </row>
    <row r="61">
      <c r="A61">
        <f t="shared" si="561"/>
        <v>58</v>
      </c>
      <c r="B61">
        <f>'AR 1'!C61</f>
        <v>6.6994539517640899</v>
      </c>
      <c r="D61" s="8">
        <v>1</v>
      </c>
      <c r="E61" s="9">
        <f t="shared" si="562"/>
        <v>7.4985374040370196</v>
      </c>
      <c r="G61" s="10">
        <f t="shared" si="558"/>
        <v>6.6994539517640899</v>
      </c>
      <c r="K61">
        <f t="shared" si="559"/>
        <v>6.6994539517640899</v>
      </c>
      <c r="L61">
        <f t="shared" si="563"/>
        <v>7.9797813470238204</v>
      </c>
      <c r="M61">
        <f t="shared" si="560"/>
        <v>-1.2803273952597301</v>
      </c>
    </row>
    <row r="62">
      <c r="A62">
        <f t="shared" si="561"/>
        <v>59</v>
      </c>
      <c r="B62">
        <f>'AR 1'!C62</f>
        <v>9.9889227287681503</v>
      </c>
      <c r="D62" s="8">
        <v>1</v>
      </c>
      <c r="E62" s="9">
        <f t="shared" si="562"/>
        <v>6.6994539517640899</v>
      </c>
      <c r="G62" s="10">
        <f t="shared" si="558"/>
        <v>9.9889227287681503</v>
      </c>
      <c r="K62">
        <f t="shared" si="559"/>
        <v>9.9889227287681503</v>
      </c>
      <c r="L62">
        <f t="shared" si="563"/>
        <v>7.6646408039103502</v>
      </c>
      <c r="M62">
        <f t="shared" si="560"/>
        <v>2.3242819248578002</v>
      </c>
    </row>
    <row r="63">
      <c r="A63">
        <f t="shared" si="561"/>
        <v>60</v>
      </c>
      <c r="B63">
        <f>'AR 1'!C63</f>
        <v>8.5679506417631206</v>
      </c>
      <c r="D63" s="8">
        <v>1</v>
      </c>
      <c r="E63" s="9">
        <f t="shared" si="562"/>
        <v>9.9889227287681503</v>
      </c>
      <c r="G63" s="10">
        <f t="shared" si="558"/>
        <v>8.5679506417631206</v>
      </c>
      <c r="K63">
        <f t="shared" si="559"/>
        <v>8.5679506417631206</v>
      </c>
      <c r="L63">
        <f t="shared" si="563"/>
        <v>8.9619333132110999</v>
      </c>
      <c r="M63">
        <f t="shared" si="560"/>
        <v>-0.39398267144797899</v>
      </c>
    </row>
    <row r="64">
      <c r="A64">
        <f t="shared" si="561"/>
        <v>61</v>
      </c>
      <c r="B64">
        <f>'AR 1'!C64</f>
        <v>11.1406570121865</v>
      </c>
      <c r="D64" s="8">
        <v>1</v>
      </c>
      <c r="E64" s="9">
        <f t="shared" si="562"/>
        <v>8.5679506417631206</v>
      </c>
      <c r="G64" s="10">
        <f t="shared" si="558"/>
        <v>11.1406570121865</v>
      </c>
      <c r="K64">
        <f t="shared" si="559"/>
        <v>11.1406570121865</v>
      </c>
      <c r="L64">
        <f t="shared" si="563"/>
        <v>8.4015338781156892</v>
      </c>
      <c r="M64">
        <f t="shared" si="560"/>
        <v>2.7391231340708102</v>
      </c>
    </row>
    <row r="65">
      <c r="A65">
        <f t="shared" si="561"/>
        <v>62</v>
      </c>
      <c r="B65">
        <f>'AR 1'!C65</f>
        <v>10.861815846061701</v>
      </c>
      <c r="D65" s="8">
        <v>1</v>
      </c>
      <c r="E65" s="9">
        <f t="shared" si="562"/>
        <v>11.1406570121865</v>
      </c>
      <c r="G65" s="10">
        <f t="shared" si="558"/>
        <v>10.861815846061701</v>
      </c>
      <c r="K65">
        <f t="shared" si="559"/>
        <v>10.861815846061701</v>
      </c>
      <c r="L65">
        <f t="shared" si="563"/>
        <v>9.4161514134188504</v>
      </c>
      <c r="M65">
        <f t="shared" si="560"/>
        <v>1.4456644326428501</v>
      </c>
    </row>
    <row r="66">
      <c r="A66">
        <f t="shared" si="561"/>
        <v>63</v>
      </c>
      <c r="B66">
        <f>'AR 1'!C66</f>
        <v>6.94762932560762</v>
      </c>
      <c r="D66" s="8">
        <v>1</v>
      </c>
      <c r="E66" s="9">
        <f t="shared" si="562"/>
        <v>10.861815846061701</v>
      </c>
      <c r="G66" s="10">
        <f t="shared" si="558"/>
        <v>6.94762932560762</v>
      </c>
      <c r="K66">
        <f t="shared" si="559"/>
        <v>6.94762932560762</v>
      </c>
      <c r="L66">
        <f t="shared" si="563"/>
        <v>9.3061827283146705</v>
      </c>
      <c r="M66">
        <f t="shared" si="560"/>
        <v>-2.3585534027070501</v>
      </c>
    </row>
    <row r="67">
      <c r="A67">
        <f t="shared" si="561"/>
        <v>64</v>
      </c>
      <c r="B67">
        <f>'AR 1'!C67</f>
        <v>6.3808349518051504</v>
      </c>
      <c r="D67" s="8">
        <v>1</v>
      </c>
      <c r="E67" s="9">
        <f t="shared" si="562"/>
        <v>6.94762932560762</v>
      </c>
      <c r="G67" s="10">
        <f t="shared" si="558"/>
        <v>6.3808349518051504</v>
      </c>
      <c r="K67">
        <f t="shared" si="559"/>
        <v>6.3808349518051504</v>
      </c>
      <c r="L67">
        <f t="shared" si="563"/>
        <v>7.76251559017701</v>
      </c>
      <c r="M67">
        <f t="shared" si="560"/>
        <v>-1.3816806383718601</v>
      </c>
    </row>
    <row r="68">
      <c r="A68">
        <f t="shared" si="561"/>
        <v>65</v>
      </c>
      <c r="B68">
        <f>'AR 1'!C68</f>
        <v>9.0726793446289609</v>
      </c>
      <c r="D68" s="8">
        <v>1</v>
      </c>
      <c r="E68" s="9">
        <f t="shared" si="562"/>
        <v>6.3808349518051504</v>
      </c>
      <c r="G68" s="10">
        <f t="shared" si="558"/>
        <v>9.0726793446289609</v>
      </c>
      <c r="K68">
        <f t="shared" si="559"/>
        <v>9.0726793446289609</v>
      </c>
      <c r="L68">
        <f t="shared" si="563"/>
        <v>7.5389846356994799</v>
      </c>
      <c r="M68">
        <f t="shared" si="560"/>
        <v>1.5336947089294799</v>
      </c>
    </row>
    <row r="69">
      <c r="A69">
        <f t="shared" si="561"/>
        <v>66</v>
      </c>
      <c r="B69">
        <f>'AR 1'!C69</f>
        <v>6.8323783835178098</v>
      </c>
      <c r="D69" s="8">
        <v>1</v>
      </c>
      <c r="E69" s="9">
        <f t="shared" si="562"/>
        <v>9.0726793446289609</v>
      </c>
      <c r="G69" s="10">
        <f t="shared" si="558"/>
        <v>6.8323783835178098</v>
      </c>
      <c r="K69">
        <f t="shared" si="559"/>
        <v>6.8323783835178098</v>
      </c>
      <c r="L69">
        <f t="shared" si="563"/>
        <v>8.6005875277609896</v>
      </c>
      <c r="M69">
        <f t="shared" si="560"/>
        <v>-1.76820914424318</v>
      </c>
    </row>
    <row r="70">
      <c r="A70">
        <f t="shared" si="561"/>
        <v>67</v>
      </c>
      <c r="B70">
        <f>'AR 1'!C70</f>
        <v>7.3495811868046497</v>
      </c>
      <c r="D70" s="8">
        <v>1</v>
      </c>
      <c r="E70" s="9">
        <f t="shared" si="562"/>
        <v>6.8323783835178098</v>
      </c>
      <c r="G70" s="10">
        <f t="shared" si="558"/>
        <v>7.3495811868046497</v>
      </c>
      <c r="K70">
        <f t="shared" si="559"/>
        <v>7.3495811868046497</v>
      </c>
      <c r="L70">
        <f t="shared" si="563"/>
        <v>7.7170632104772299</v>
      </c>
      <c r="M70">
        <f t="shared" si="560"/>
        <v>-0.36748202367257998</v>
      </c>
    </row>
    <row r="71">
      <c r="A71">
        <f t="shared" si="561"/>
        <v>68</v>
      </c>
      <c r="B71">
        <f>'AR 1'!C71</f>
        <v>8.6635730768835693</v>
      </c>
      <c r="D71" s="8">
        <v>1</v>
      </c>
      <c r="E71" s="9">
        <f t="shared" si="562"/>
        <v>7.3495811868046497</v>
      </c>
      <c r="G71" s="10">
        <f t="shared" si="558"/>
        <v>8.6635730768835693</v>
      </c>
      <c r="K71">
        <f t="shared" si="559"/>
        <v>8.6635730768835693</v>
      </c>
      <c r="L71">
        <f t="shared" si="563"/>
        <v>7.9210363648004796</v>
      </c>
      <c r="M71">
        <f t="shared" si="560"/>
        <v>0.74253671208309002</v>
      </c>
    </row>
    <row r="72">
      <c r="A72">
        <f t="shared" si="561"/>
        <v>69</v>
      </c>
      <c r="B72">
        <f>'AR 1'!C72</f>
        <v>8.6199352166966801</v>
      </c>
      <c r="D72" s="8">
        <v>1</v>
      </c>
      <c r="E72" s="9">
        <f t="shared" si="562"/>
        <v>8.6635730768835693</v>
      </c>
      <c r="G72" s="10">
        <f t="shared" si="558"/>
        <v>8.6199352166966801</v>
      </c>
      <c r="K72">
        <f t="shared" si="559"/>
        <v>8.6199352166966801</v>
      </c>
      <c r="L72">
        <f t="shared" si="563"/>
        <v>8.43924521608918</v>
      </c>
      <c r="M72">
        <f t="shared" si="560"/>
        <v>0.18069000060750004</v>
      </c>
    </row>
    <row r="73">
      <c r="A73">
        <f t="shared" si="561"/>
        <v>70</v>
      </c>
      <c r="B73">
        <f>'AR 1'!C73</f>
        <v>9.0829349718133603</v>
      </c>
      <c r="D73" s="8">
        <v>1</v>
      </c>
      <c r="E73" s="9">
        <f t="shared" si="562"/>
        <v>8.6199352166966801</v>
      </c>
      <c r="G73" s="10">
        <f t="shared" si="558"/>
        <v>9.0829349718133603</v>
      </c>
      <c r="K73">
        <f t="shared" si="559"/>
        <v>9.0829349718133603</v>
      </c>
      <c r="L73">
        <f t="shared" si="563"/>
        <v>8.4220354253964906</v>
      </c>
      <c r="M73">
        <f t="shared" si="560"/>
        <v>0.66089954641686999</v>
      </c>
    </row>
    <row r="74">
      <c r="A74">
        <f t="shared" si="561"/>
        <v>71</v>
      </c>
      <c r="B74">
        <f>'AR 1'!C74</f>
        <v>9.1796597917769702</v>
      </c>
      <c r="D74" s="8">
        <v>1</v>
      </c>
      <c r="E74" s="9">
        <f t="shared" si="562"/>
        <v>9.0829349718133603</v>
      </c>
      <c r="G74" s="10">
        <f t="shared" ref="G74:G99" si="564">B74</f>
        <v>9.1796597917769702</v>
      </c>
      <c r="K74">
        <f t="shared" ref="K74:K99" si="565">B74</f>
        <v>9.1796597917769702</v>
      </c>
      <c r="L74">
        <f t="shared" si="563"/>
        <v>8.6046321164853197</v>
      </c>
      <c r="M74">
        <f t="shared" ref="M74:M99" si="566">K74-L74</f>
        <v>0.575027675291651</v>
      </c>
    </row>
    <row r="75">
      <c r="A75">
        <f t="shared" ref="A75:A100" si="567">A74+1</f>
        <v>72</v>
      </c>
      <c r="B75">
        <f>'AR 1'!C75</f>
        <v>6.8485897003514404</v>
      </c>
      <c r="D75" s="8">
        <v>1</v>
      </c>
      <c r="E75" s="9">
        <f t="shared" ref="E75:E100" si="568">B74</f>
        <v>9.1796597917769702</v>
      </c>
      <c r="G75" s="10">
        <f t="shared" si="564"/>
        <v>6.8485897003514404</v>
      </c>
      <c r="K75">
        <f t="shared" si="565"/>
        <v>6.8485897003514404</v>
      </c>
      <c r="L75">
        <f t="shared" ref="L75:L100" si="569">I$5+K74*I$6</f>
        <v>8.6427782102496007</v>
      </c>
      <c r="M75">
        <f t="shared" si="566"/>
        <v>-1.79418850989816</v>
      </c>
    </row>
    <row r="76">
      <c r="A76">
        <f t="shared" si="567"/>
        <v>73</v>
      </c>
      <c r="B76">
        <f>'AR 1'!C76</f>
        <v>7.7501860684193904</v>
      </c>
      <c r="D76" s="8">
        <v>1</v>
      </c>
      <c r="E76" s="9">
        <f t="shared" si="568"/>
        <v>6.8485897003514404</v>
      </c>
      <c r="G76" s="10">
        <f t="shared" si="564"/>
        <v>7.7501860684193904</v>
      </c>
      <c r="K76">
        <f t="shared" si="565"/>
        <v>7.7501860684193904</v>
      </c>
      <c r="L76">
        <f t="shared" si="569"/>
        <v>7.7234565892626401</v>
      </c>
      <c r="M76">
        <f t="shared" si="566"/>
        <v>2.6729479156749995e-02</v>
      </c>
    </row>
    <row r="77">
      <c r="A77">
        <f t="shared" si="567"/>
        <v>74</v>
      </c>
      <c r="B77">
        <f>'AR 1'!C77</f>
        <v>8.8331519655802708</v>
      </c>
      <c r="D77" s="8">
        <v>1</v>
      </c>
      <c r="E77" s="9">
        <f t="shared" si="568"/>
        <v>7.7501860684193904</v>
      </c>
      <c r="G77" s="10">
        <f t="shared" si="564"/>
        <v>8.8331519655802708</v>
      </c>
      <c r="K77">
        <f t="shared" si="565"/>
        <v>8.8331519655802708</v>
      </c>
      <c r="L77">
        <f t="shared" si="569"/>
        <v>8.0790259209687108</v>
      </c>
      <c r="M77">
        <f t="shared" si="566"/>
        <v>0.75412604461155996</v>
      </c>
    </row>
    <row r="78">
      <c r="A78">
        <f t="shared" si="567"/>
        <v>75</v>
      </c>
      <c r="B78">
        <f>'AR 1'!C78</f>
        <v>9.3710954936637805</v>
      </c>
      <c r="D78" s="8">
        <v>1</v>
      </c>
      <c r="E78" s="9">
        <f t="shared" si="568"/>
        <v>8.8331519655802708</v>
      </c>
      <c r="G78" s="10">
        <f t="shared" si="564"/>
        <v>9.3710954936637805</v>
      </c>
      <c r="K78">
        <f t="shared" si="565"/>
        <v>9.3710954936637805</v>
      </c>
      <c r="L78">
        <f t="shared" si="569"/>
        <v>8.5061233161580105</v>
      </c>
      <c r="M78">
        <f t="shared" si="566"/>
        <v>0.86497217750577016</v>
      </c>
    </row>
    <row r="79">
      <c r="A79">
        <f t="shared" si="567"/>
        <v>76</v>
      </c>
      <c r="B79">
        <f>'AR 1'!C79</f>
        <v>8.6528344763882501</v>
      </c>
      <c r="D79" s="8">
        <v>1</v>
      </c>
      <c r="E79" s="9">
        <f t="shared" si="568"/>
        <v>9.3710954936637805</v>
      </c>
      <c r="G79" s="10">
        <f t="shared" si="564"/>
        <v>8.6528344763882501</v>
      </c>
      <c r="K79">
        <f t="shared" si="565"/>
        <v>8.6528344763882501</v>
      </c>
      <c r="L79">
        <f t="shared" si="569"/>
        <v>8.7182761459061506</v>
      </c>
      <c r="M79">
        <f t="shared" si="566"/>
        <v>-6.5441669517900994e-02</v>
      </c>
    </row>
    <row r="80">
      <c r="A80">
        <f t="shared" si="567"/>
        <v>77</v>
      </c>
      <c r="B80">
        <f>'AR 1'!C80</f>
        <v>9.2564658868878293</v>
      </c>
      <c r="D80" s="8">
        <v>1</v>
      </c>
      <c r="E80" s="9">
        <f t="shared" si="568"/>
        <v>8.6528344763882501</v>
      </c>
      <c r="G80" s="10">
        <f t="shared" si="564"/>
        <v>9.2564658868878293</v>
      </c>
      <c r="K80">
        <f t="shared" si="565"/>
        <v>9.2564658868878293</v>
      </c>
      <c r="L80">
        <f t="shared" si="569"/>
        <v>8.4350101535525397</v>
      </c>
      <c r="M80">
        <f t="shared" si="566"/>
        <v>0.82145573333528998</v>
      </c>
    </row>
    <row r="81">
      <c r="A81">
        <f t="shared" si="567"/>
        <v>78</v>
      </c>
      <c r="B81">
        <f>'AR 1'!C81</f>
        <v>9.6513968847440008</v>
      </c>
      <c r="D81" s="8">
        <v>1</v>
      </c>
      <c r="E81" s="9">
        <f t="shared" si="568"/>
        <v>9.2564658868878293</v>
      </c>
      <c r="G81" s="10">
        <f t="shared" si="564"/>
        <v>9.6513968847440008</v>
      </c>
      <c r="K81">
        <f t="shared" si="565"/>
        <v>9.6513968847440008</v>
      </c>
      <c r="L81">
        <f t="shared" si="569"/>
        <v>8.6730688068810409</v>
      </c>
      <c r="M81">
        <f t="shared" si="566"/>
        <v>0.97832807786296017</v>
      </c>
    </row>
    <row r="82">
      <c r="A82">
        <f t="shared" si="567"/>
        <v>79</v>
      </c>
      <c r="B82">
        <f>'AR 1'!C82</f>
        <v>6.6513632585601199</v>
      </c>
      <c r="D82" s="8">
        <v>1</v>
      </c>
      <c r="E82" s="9">
        <f t="shared" si="568"/>
        <v>9.6513968847440008</v>
      </c>
      <c r="G82" s="10">
        <f t="shared" si="564"/>
        <v>6.6513632585601199</v>
      </c>
      <c r="K82">
        <f t="shared" si="565"/>
        <v>6.6513632585601199</v>
      </c>
      <c r="L82">
        <f t="shared" si="569"/>
        <v>8.8288207108939805</v>
      </c>
      <c r="M82">
        <f t="shared" si="566"/>
        <v>-2.1774574523338601</v>
      </c>
    </row>
    <row r="83">
      <c r="A83">
        <f t="shared" si="567"/>
        <v>80</v>
      </c>
      <c r="B83">
        <f>'AR 1'!C83</f>
        <v>8.2448300200235494</v>
      </c>
      <c r="D83" s="8">
        <v>1</v>
      </c>
      <c r="E83" s="9">
        <f t="shared" si="568"/>
        <v>6.6513632585601199</v>
      </c>
      <c r="G83" s="10">
        <f t="shared" si="564"/>
        <v>8.2448300200235494</v>
      </c>
      <c r="K83">
        <f t="shared" si="565"/>
        <v>8.2448300200235494</v>
      </c>
      <c r="L83">
        <f t="shared" si="569"/>
        <v>7.6456749160147899</v>
      </c>
      <c r="M83">
        <f t="shared" si="566"/>
        <v>0.59915510400876004</v>
      </c>
    </row>
    <row r="84">
      <c r="A84">
        <f t="shared" si="567"/>
        <v>81</v>
      </c>
      <c r="B84">
        <f>'AR 1'!C84</f>
        <v>6.0413591421843202</v>
      </c>
      <c r="D84" s="8">
        <v>1</v>
      </c>
      <c r="E84" s="9">
        <f t="shared" si="568"/>
        <v>8.2448300200235494</v>
      </c>
      <c r="G84" s="10">
        <f t="shared" si="564"/>
        <v>6.0413591421843202</v>
      </c>
      <c r="K84">
        <f t="shared" si="565"/>
        <v>6.0413591421843202</v>
      </c>
      <c r="L84">
        <f t="shared" si="569"/>
        <v>8.2741023715108</v>
      </c>
      <c r="M84">
        <f t="shared" si="566"/>
        <v>-2.2327432293264802</v>
      </c>
    </row>
    <row r="85">
      <c r="A85">
        <f t="shared" si="567"/>
        <v>82</v>
      </c>
      <c r="B85">
        <f>'AR 1'!C85</f>
        <v>7.6493627408184599</v>
      </c>
      <c r="D85" s="8">
        <v>1</v>
      </c>
      <c r="E85" s="9">
        <f t="shared" si="568"/>
        <v>6.0413591421843202</v>
      </c>
      <c r="G85" s="10">
        <f t="shared" si="564"/>
        <v>7.6493627408184599</v>
      </c>
      <c r="K85">
        <f t="shared" si="565"/>
        <v>7.6493627408184599</v>
      </c>
      <c r="L85">
        <f t="shared" si="569"/>
        <v>7.4051030108034901</v>
      </c>
      <c r="M85">
        <f t="shared" si="566"/>
        <v>0.24425973001496998</v>
      </c>
    </row>
    <row r="86">
      <c r="A86">
        <f t="shared" si="567"/>
        <v>83</v>
      </c>
      <c r="B86">
        <f>'AR 1'!C86</f>
        <v>8.5549854316047806</v>
      </c>
      <c r="D86" s="8">
        <v>1</v>
      </c>
      <c r="E86" s="9">
        <f t="shared" si="568"/>
        <v>7.6493627408184599</v>
      </c>
      <c r="G86" s="10">
        <f t="shared" si="564"/>
        <v>8.5549854316047806</v>
      </c>
      <c r="K86">
        <f t="shared" si="565"/>
        <v>8.5549854316047806</v>
      </c>
      <c r="L86">
        <f t="shared" si="569"/>
        <v>8.0392634679629698</v>
      </c>
      <c r="M86">
        <f t="shared" si="566"/>
        <v>0.515721963641811</v>
      </c>
    </row>
    <row r="87">
      <c r="A87">
        <f t="shared" si="567"/>
        <v>84</v>
      </c>
      <c r="B87">
        <f>'AR 1'!C87</f>
        <v>9.3164955064472394</v>
      </c>
      <c r="D87" s="8">
        <v>1</v>
      </c>
      <c r="E87" s="9">
        <f t="shared" si="568"/>
        <v>8.5549854316047806</v>
      </c>
      <c r="G87" s="10">
        <f t="shared" si="564"/>
        <v>9.3164955064472394</v>
      </c>
      <c r="K87">
        <f t="shared" si="565"/>
        <v>9.3164955064472394</v>
      </c>
      <c r="L87">
        <f t="shared" si="569"/>
        <v>8.3964206908018202</v>
      </c>
      <c r="M87">
        <f t="shared" si="566"/>
        <v>0.92007481564541904</v>
      </c>
    </row>
    <row r="88">
      <c r="A88">
        <f t="shared" si="567"/>
        <v>85</v>
      </c>
      <c r="B88">
        <f>'AR 1'!C88</f>
        <v>9.3880379589982095</v>
      </c>
      <c r="D88" s="8">
        <v>1</v>
      </c>
      <c r="E88" s="9">
        <f t="shared" si="568"/>
        <v>9.3164955064472394</v>
      </c>
      <c r="G88" s="10">
        <f t="shared" si="564"/>
        <v>9.3880379589982095</v>
      </c>
      <c r="K88">
        <f t="shared" si="565"/>
        <v>9.3880379589982095</v>
      </c>
      <c r="L88">
        <f t="shared" si="569"/>
        <v>8.6967431388385297</v>
      </c>
      <c r="M88">
        <f t="shared" si="566"/>
        <v>0.69129482015968002</v>
      </c>
    </row>
    <row r="89">
      <c r="A89">
        <f t="shared" si="567"/>
        <v>86</v>
      </c>
      <c r="B89">
        <f>'AR 1'!C89</f>
        <v>8.8184147405082101</v>
      </c>
      <c r="D89" s="8">
        <v>1</v>
      </c>
      <c r="E89" s="9">
        <f t="shared" si="568"/>
        <v>9.3880379589982095</v>
      </c>
      <c r="G89" s="10">
        <f t="shared" si="564"/>
        <v>8.8184147405082101</v>
      </c>
      <c r="K89">
        <f t="shared" si="565"/>
        <v>8.8184147405082101</v>
      </c>
      <c r="L89">
        <f t="shared" si="569"/>
        <v>8.7249578732175905</v>
      </c>
      <c r="M89">
        <f t="shared" si="566"/>
        <v>9.3456867290619985e-02</v>
      </c>
    </row>
    <row r="90">
      <c r="A90">
        <f t="shared" si="567"/>
        <v>87</v>
      </c>
      <c r="B90">
        <f>'AR 1'!C90</f>
        <v>8.9099086736321809</v>
      </c>
      <c r="D90" s="8">
        <v>1</v>
      </c>
      <c r="E90" s="9">
        <f t="shared" si="568"/>
        <v>8.8184147405082101</v>
      </c>
      <c r="G90" s="10">
        <f t="shared" si="564"/>
        <v>8.9099086736321809</v>
      </c>
      <c r="K90">
        <f t="shared" si="565"/>
        <v>8.9099086736321809</v>
      </c>
      <c r="L90">
        <f t="shared" si="569"/>
        <v>8.5003112860127494</v>
      </c>
      <c r="M90">
        <f t="shared" si="566"/>
        <v>0.40959738761943199</v>
      </c>
    </row>
    <row r="91">
      <c r="A91">
        <f t="shared" si="567"/>
        <v>88</v>
      </c>
      <c r="B91">
        <f>'AR 1'!C91</f>
        <v>8.4966509972542408</v>
      </c>
      <c r="D91" s="8">
        <v>1</v>
      </c>
      <c r="E91" s="9">
        <f t="shared" si="568"/>
        <v>8.9099086736321809</v>
      </c>
      <c r="G91" s="10">
        <f t="shared" si="564"/>
        <v>8.4966509972542408</v>
      </c>
      <c r="K91">
        <f t="shared" si="565"/>
        <v>8.4966509972542408</v>
      </c>
      <c r="L91">
        <f t="shared" si="569"/>
        <v>8.5363944356440609</v>
      </c>
      <c r="M91">
        <f t="shared" si="566"/>
        <v>-3.9743438389820002e-02</v>
      </c>
    </row>
    <row r="92">
      <c r="A92">
        <f t="shared" si="567"/>
        <v>89</v>
      </c>
      <c r="B92">
        <f>'AR 1'!C92</f>
        <v>9.5957622880510804</v>
      </c>
      <c r="D92" s="8">
        <v>1</v>
      </c>
      <c r="E92" s="9">
        <f t="shared" si="568"/>
        <v>8.4966509972542408</v>
      </c>
      <c r="G92" s="10">
        <f t="shared" si="564"/>
        <v>9.5957622880510804</v>
      </c>
      <c r="K92">
        <f t="shared" si="565"/>
        <v>9.5957622880510804</v>
      </c>
      <c r="L92">
        <f t="shared" si="569"/>
        <v>8.3734149017679602</v>
      </c>
      <c r="M92">
        <f t="shared" si="566"/>
        <v>1.22234738628312</v>
      </c>
    </row>
    <row r="93">
      <c r="A93">
        <f t="shared" si="567"/>
        <v>90</v>
      </c>
      <c r="B93">
        <f>'AR 1'!C93</f>
        <v>9.4341042496587093</v>
      </c>
      <c r="D93" s="8">
        <v>1</v>
      </c>
      <c r="E93" s="9">
        <f t="shared" si="568"/>
        <v>9.5957622880510804</v>
      </c>
      <c r="G93" s="10">
        <f t="shared" si="564"/>
        <v>9.4341042496587093</v>
      </c>
      <c r="K93">
        <f t="shared" si="565"/>
        <v>9.4341042496587093</v>
      </c>
      <c r="L93">
        <f t="shared" si="569"/>
        <v>8.8068796771160507</v>
      </c>
      <c r="M93">
        <f t="shared" si="566"/>
        <v>0.62722457254265895</v>
      </c>
    </row>
    <row r="94">
      <c r="A94">
        <f t="shared" si="567"/>
        <v>91</v>
      </c>
      <c r="B94">
        <f>'AR 1'!C94</f>
        <v>8.3549740311930503</v>
      </c>
      <c r="D94" s="8">
        <v>1</v>
      </c>
      <c r="E94" s="9">
        <f t="shared" si="568"/>
        <v>9.4341042496587093</v>
      </c>
      <c r="G94" s="10">
        <f t="shared" si="564"/>
        <v>8.3549740311930503</v>
      </c>
      <c r="K94">
        <f t="shared" si="565"/>
        <v>8.3549740311930503</v>
      </c>
      <c r="L94">
        <f t="shared" si="569"/>
        <v>8.7431253822764798</v>
      </c>
      <c r="M94">
        <f t="shared" si="566"/>
        <v>-0.38815135108343002</v>
      </c>
    </row>
    <row r="95">
      <c r="A95">
        <f t="shared" si="567"/>
        <v>92</v>
      </c>
      <c r="B95">
        <f>'AR 1'!C95</f>
        <v>8.8374866436708892</v>
      </c>
      <c r="D95" s="8">
        <v>1</v>
      </c>
      <c r="E95" s="9">
        <f t="shared" si="568"/>
        <v>8.3549740311930503</v>
      </c>
      <c r="G95" s="10">
        <f t="shared" si="564"/>
        <v>8.8374866436708892</v>
      </c>
      <c r="K95">
        <f t="shared" si="565"/>
        <v>8.8374866436708892</v>
      </c>
      <c r="L95">
        <f t="shared" si="569"/>
        <v>8.3175406925045898</v>
      </c>
      <c r="M95">
        <f t="shared" si="566"/>
        <v>0.51994595116629905</v>
      </c>
    </row>
    <row r="96">
      <c r="A96">
        <f t="shared" si="567"/>
        <v>93</v>
      </c>
      <c r="B96">
        <f>'AR 1'!C96</f>
        <v>7.8030050801946302</v>
      </c>
      <c r="D96" s="8">
        <v>1</v>
      </c>
      <c r="E96" s="9">
        <f t="shared" si="568"/>
        <v>8.8374866436708892</v>
      </c>
      <c r="G96" s="10">
        <f t="shared" si="564"/>
        <v>7.8030050801946302</v>
      </c>
      <c r="K96">
        <f t="shared" si="565"/>
        <v>7.8030050801946302</v>
      </c>
      <c r="L96">
        <f t="shared" si="569"/>
        <v>8.5078328157150498</v>
      </c>
      <c r="M96">
        <f t="shared" si="566"/>
        <v>-0.70482773552042</v>
      </c>
    </row>
    <row r="97">
      <c r="A97">
        <f t="shared" si="567"/>
        <v>94</v>
      </c>
      <c r="B97">
        <f>'AR 1'!C97</f>
        <v>6.4321326269662897</v>
      </c>
      <c r="D97" s="8">
        <v>1</v>
      </c>
      <c r="E97" s="9">
        <f t="shared" si="568"/>
        <v>7.8030050801946302</v>
      </c>
      <c r="G97" s="10">
        <f t="shared" si="564"/>
        <v>6.4321326269662897</v>
      </c>
      <c r="K97">
        <f t="shared" si="565"/>
        <v>6.4321326269662897</v>
      </c>
      <c r="L97">
        <f t="shared" si="569"/>
        <v>8.0998565513743603</v>
      </c>
      <c r="M97">
        <f t="shared" si="566"/>
        <v>-1.6677239244080699</v>
      </c>
    </row>
    <row r="98">
      <c r="A98">
        <f t="shared" si="567"/>
        <v>95</v>
      </c>
      <c r="B98">
        <f>'AR 1'!C98</f>
        <v>8.2070381831134807</v>
      </c>
      <c r="D98" s="8">
        <v>1</v>
      </c>
      <c r="E98" s="9">
        <f t="shared" si="568"/>
        <v>6.4321326269662897</v>
      </c>
      <c r="G98" s="10">
        <f t="shared" si="564"/>
        <v>8.2070381831134807</v>
      </c>
      <c r="K98">
        <f t="shared" si="565"/>
        <v>8.2070381831134807</v>
      </c>
      <c r="L98">
        <f t="shared" si="569"/>
        <v>7.55921528515763</v>
      </c>
      <c r="M98">
        <f t="shared" si="566"/>
        <v>0.64782289795585102</v>
      </c>
    </row>
    <row r="99">
      <c r="A99">
        <f t="shared" si="567"/>
        <v>96</v>
      </c>
      <c r="B99">
        <f>'AR 1'!C99</f>
        <v>6.8935011528724601</v>
      </c>
      <c r="D99" s="8">
        <v>1</v>
      </c>
      <c r="E99" s="9">
        <f t="shared" si="568"/>
        <v>8.2070381831134807</v>
      </c>
      <c r="G99" s="10">
        <f t="shared" si="564"/>
        <v>6.8935011528724601</v>
      </c>
      <c r="K99">
        <f t="shared" si="565"/>
        <v>6.8935011528724601</v>
      </c>
      <c r="L99">
        <f t="shared" si="569"/>
        <v>8.2591981209281897</v>
      </c>
      <c r="M99">
        <f t="shared" si="566"/>
        <v>-1.36569696805573</v>
      </c>
    </row>
    <row r="100">
      <c r="A100">
        <f t="shared" si="567"/>
        <v>97</v>
      </c>
      <c r="B100">
        <f>'AR 1'!C100</f>
        <v>6.58135765538192</v>
      </c>
      <c r="D100" s="8">
        <v>1</v>
      </c>
      <c r="E100" s="9">
        <f t="shared" si="568"/>
        <v>6.8935011528724601</v>
      </c>
      <c r="G100" s="10">
        <f t="shared" ref="G100:G103" si="570">B100</f>
        <v>6.58135765538192</v>
      </c>
      <c r="K100">
        <f t="shared" ref="K100:K103" si="571">B100</f>
        <v>6.58135765538192</v>
      </c>
      <c r="L100">
        <f t="shared" si="569"/>
        <v>7.7411686561302897</v>
      </c>
      <c r="M100">
        <f t="shared" ref="M100:M103" si="572">K100-L100</f>
        <v>-1.15981100074837</v>
      </c>
    </row>
    <row r="101">
      <c r="A101">
        <f t="shared" ref="A101:A103" si="573">A100+1</f>
        <v>98</v>
      </c>
      <c r="B101">
        <f>'AR 1'!C101</f>
        <v>6.7231135510172297</v>
      </c>
      <c r="D101" s="8">
        <v>1</v>
      </c>
      <c r="E101" s="9">
        <f t="shared" ref="E101:E103" si="574">B100</f>
        <v>6.58135765538192</v>
      </c>
      <c r="G101" s="10">
        <f t="shared" si="570"/>
        <v>6.7231135510172297</v>
      </c>
      <c r="K101">
        <f t="shared" si="571"/>
        <v>6.7231135510172297</v>
      </c>
      <c r="L101">
        <f t="shared" ref="L101:L103" si="575">I$5+K100*I$6</f>
        <v>7.6180662804663903</v>
      </c>
      <c r="M101">
        <f t="shared" si="572"/>
        <v>-0.89495272944916093</v>
      </c>
    </row>
    <row r="102">
      <c r="A102">
        <f t="shared" si="573"/>
        <v>99</v>
      </c>
      <c r="B102">
        <f>'AR 1'!C102</f>
        <v>5.6031024496579098</v>
      </c>
      <c r="D102" s="8">
        <v>1</v>
      </c>
      <c r="E102" s="9">
        <f t="shared" si="574"/>
        <v>6.7231135510172297</v>
      </c>
      <c r="G102" s="10">
        <f t="shared" si="570"/>
        <v>5.6031024496579098</v>
      </c>
      <c r="K102">
        <f t="shared" si="571"/>
        <v>5.6031024496579098</v>
      </c>
      <c r="L102">
        <f t="shared" si="575"/>
        <v>7.6739716177787498</v>
      </c>
      <c r="M102">
        <f t="shared" si="572"/>
        <v>-2.07086916812084</v>
      </c>
    </row>
    <row r="103">
      <c r="A103">
        <f t="shared" si="573"/>
        <v>100</v>
      </c>
      <c r="B103" s="14">
        <f>'AR 1'!C103</f>
        <v>8.2498435205593701</v>
      </c>
      <c r="D103" s="11">
        <v>1</v>
      </c>
      <c r="E103" s="12">
        <f t="shared" si="574"/>
        <v>5.6031024496579098</v>
      </c>
      <c r="G103" s="13">
        <f t="shared" si="570"/>
        <v>8.2498435205593701</v>
      </c>
      <c r="K103" s="14">
        <f t="shared" si="571"/>
        <v>8.2498435205593701</v>
      </c>
      <c r="L103" s="14">
        <f t="shared" si="575"/>
        <v>7.2322644271573999</v>
      </c>
      <c r="M103" s="14">
        <f t="shared" si="572"/>
        <v>1.0175790934019699</v>
      </c>
    </row>
  </sheetData>
  <mergeCells count="1">
    <mergeCell ref="D3:E3"/>
  </mergeCells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B4" activeCellId="0" sqref="B4"/>
    </sheetView>
  </sheetViews>
  <sheetFormatPr defaultRowHeight="14.25"/>
  <cols>
    <col customWidth="1" min="1" max="1" width="5.2678570000000002"/>
    <col customWidth="1" min="5" max="5" width="6.2678570000000002"/>
  </cols>
  <sheetData>
    <row r="1">
      <c r="A1" s="1" t="s">
        <v>450</v>
      </c>
    </row>
    <row r="3">
      <c r="B3" s="4" t="s">
        <v>342</v>
      </c>
      <c r="C3" s="4" t="s">
        <v>343</v>
      </c>
      <c r="D3" s="4" t="s">
        <v>451</v>
      </c>
      <c r="F3" s="15" t="s">
        <v>441</v>
      </c>
    </row>
    <row r="4">
      <c r="A4">
        <v>1</v>
      </c>
      <c r="B4">
        <v>-0.69785249480192335</v>
      </c>
      <c r="C4">
        <f>'AR 1'!C4</f>
        <v>4.3021475051980804</v>
      </c>
    </row>
    <row r="5">
      <c r="A5">
        <f t="shared" ref="A5:A10" si="576">A4+1</f>
        <v>2</v>
      </c>
      <c r="B5">
        <v>-0.57784409098609935</v>
      </c>
      <c r="C5">
        <f>'AR 1'!C5</f>
        <v>6.1430149110931298</v>
      </c>
      <c r="D5">
        <f t="shared" ref="D5:D10" si="577">$F$5+C4*$F$6</f>
        <v>6.7192043987953998</v>
      </c>
      <c r="F5" s="7">
        <v>5.0225532685473393</v>
      </c>
    </row>
    <row r="6">
      <c r="A6">
        <f t="shared" si="576"/>
        <v>3</v>
      </c>
      <c r="B6">
        <v>-1.1112486969478823</v>
      </c>
      <c r="C6">
        <f>'AR 1'!C6</f>
        <v>6.3459572674893696</v>
      </c>
      <c r="D6">
        <f t="shared" si="577"/>
        <v>7.4451929338409597</v>
      </c>
      <c r="F6" s="13">
        <v>0.39437307256389537</v>
      </c>
    </row>
    <row r="7">
      <c r="A7">
        <f t="shared" si="576"/>
        <v>4</v>
      </c>
      <c r="B7">
        <v>-0.56033359170276131</v>
      </c>
      <c r="C7">
        <f>'AR 1'!C7</f>
        <v>6.9780493152929903</v>
      </c>
      <c r="D7">
        <f t="shared" si="577"/>
        <v>7.5252279344863</v>
      </c>
    </row>
    <row r="8">
      <c r="A8">
        <f t="shared" si="576"/>
        <v>5</v>
      </c>
      <c r="B8">
        <v>1.6565339753336528</v>
      </c>
      <c r="C8">
        <f>'AR 1'!C8</f>
        <v>9.4477537014508499</v>
      </c>
      <c r="D8">
        <f t="shared" si="577"/>
        <v>7.7745080175218204</v>
      </c>
      <c r="F8" s="15" t="s">
        <v>212</v>
      </c>
    </row>
    <row r="9">
      <c r="A9">
        <f t="shared" si="576"/>
        <v>6</v>
      </c>
      <c r="B9">
        <v>-0.41484923591072331</v>
      </c>
      <c r="C9">
        <f>'AR 1'!C9</f>
        <v>8.3642522446696201</v>
      </c>
      <c r="D9">
        <f t="shared" si="577"/>
        <v>8.7484929246154195</v>
      </c>
      <c r="F9" s="18">
        <f>SUMXMY2(C5:C103,D5:D103)</f>
        <v>126.605120456942</v>
      </c>
    </row>
    <row r="10">
      <c r="A10">
        <f t="shared" si="576"/>
        <v>7</v>
      </c>
      <c r="B10">
        <v>-1.274931208283298</v>
      </c>
      <c r="C10">
        <f>'AR 1'!C10</f>
        <v>7.0707696895845498</v>
      </c>
      <c r="D10">
        <f t="shared" si="577"/>
        <v>8.3211891259771509</v>
      </c>
    </row>
    <row r="11">
      <c r="A11">
        <f t="shared" ref="A11:A74" si="578">A10+1</f>
        <v>8</v>
      </c>
      <c r="B11">
        <v>-0.80593538272356324</v>
      </c>
      <c r="C11">
        <f>'AR 1'!C11</f>
        <v>7.02237249311026</v>
      </c>
      <c r="D11">
        <f t="shared" ref="D11:D74" si="579">$F$5+C10*$F$6</f>
        <v>7.8110744364204603</v>
      </c>
      <c r="F11" s="15" t="s">
        <v>452</v>
      </c>
      <c r="G11" t="s">
        <v>453</v>
      </c>
    </row>
    <row r="12">
      <c r="A12">
        <f t="shared" si="578"/>
        <v>9</v>
      </c>
      <c r="B12">
        <v>-0.17954155743882044</v>
      </c>
      <c r="C12">
        <f>'AR 1'!C12</f>
        <v>7.6294074398052798</v>
      </c>
      <c r="D12">
        <f t="shared" si="579"/>
        <v>7.7919878853434099</v>
      </c>
      <c r="F12" s="18">
        <f>ABS(F6)</f>
        <v>0.39437307256389498</v>
      </c>
    </row>
    <row r="13">
      <c r="A13">
        <f t="shared" si="578"/>
        <v>10</v>
      </c>
      <c r="B13">
        <v>-0.60002179872810935</v>
      </c>
      <c r="C13">
        <f>'AR 1'!C13</f>
        <v>7.4517411771940001</v>
      </c>
      <c r="D13">
        <f t="shared" si="579"/>
        <v>8.0313861224251895</v>
      </c>
    </row>
    <row r="14">
      <c r="A14">
        <f t="shared" si="578"/>
        <v>11</v>
      </c>
      <c r="B14">
        <v>-0.66763333953713522</v>
      </c>
      <c r="C14">
        <f>'AR 1'!C14</f>
        <v>7.3130631313404697</v>
      </c>
      <c r="D14">
        <f t="shared" si="579"/>
        <v>7.9613193325482303</v>
      </c>
    </row>
    <row r="15">
      <c r="A15">
        <f t="shared" si="578"/>
        <v>12</v>
      </c>
      <c r="B15">
        <v>-1.1882740654292401</v>
      </c>
      <c r="C15">
        <f>'AR 1'!C15</f>
        <v>6.7369511871069498</v>
      </c>
      <c r="D15">
        <f t="shared" si="579"/>
        <v>7.9066284455078204</v>
      </c>
    </row>
    <row r="16">
      <c r="A16">
        <f t="shared" si="578"/>
        <v>13</v>
      </c>
      <c r="B16">
        <v>-5.9362987216999438e-02</v>
      </c>
      <c r="C16">
        <f>'AR 1'!C16</f>
        <v>7.6354174876257801</v>
      </c>
      <c r="D16">
        <f t="shared" si="579"/>
        <v>7.6794254079196902</v>
      </c>
    </row>
    <row r="17">
      <c r="A17">
        <f t="shared" si="578"/>
        <v>14</v>
      </c>
      <c r="B17">
        <v>0.2800890126112825</v>
      </c>
      <c r="C17">
        <f>'AR 1'!C17</f>
        <v>8.3342560076615904</v>
      </c>
      <c r="D17">
        <f t="shared" si="579"/>
        <v>8.0337563234504206</v>
      </c>
    </row>
    <row r="18">
      <c r="A18">
        <f t="shared" si="578"/>
        <v>15</v>
      </c>
      <c r="B18">
        <v>0.18047523554544689</v>
      </c>
      <c r="C18">
        <f>'AR 1'!C18</f>
        <v>8.5141776386100894</v>
      </c>
      <c r="D18">
        <f t="shared" si="579"/>
        <v>8.3093594178229395</v>
      </c>
    </row>
    <row r="19">
      <c r="A19">
        <f t="shared" si="578"/>
        <v>16</v>
      </c>
      <c r="B19">
        <v>1.0704437186023568</v>
      </c>
      <c r="C19">
        <f>'AR 1'!C19</f>
        <v>9.4761147740463993</v>
      </c>
      <c r="D19">
        <f t="shared" si="579"/>
        <v>8.3803156642408094</v>
      </c>
    </row>
    <row r="20">
      <c r="A20">
        <f t="shared" si="578"/>
        <v>17</v>
      </c>
      <c r="B20">
        <v>-0.34072311283254125</v>
      </c>
      <c r="C20">
        <f>'AR 1'!C20</f>
        <v>8.4497227967860198</v>
      </c>
      <c r="D20">
        <f t="shared" si="579"/>
        <v>8.7596777679561395</v>
      </c>
    </row>
    <row r="21">
      <c r="A21">
        <f t="shared" si="578"/>
        <v>18</v>
      </c>
      <c r="B21">
        <v>1.1245741006977239</v>
      </c>
      <c r="C21">
        <f>'AR 1'!C21</f>
        <v>9.5044632194121306</v>
      </c>
      <c r="D21">
        <f t="shared" si="579"/>
        <v>8.3548964102290295</v>
      </c>
    </row>
    <row r="22">
      <c r="A22">
        <f t="shared" si="578"/>
        <v>19</v>
      </c>
      <c r="B22">
        <v>-2.1341842125122983</v>
      </c>
      <c r="C22">
        <f>'AR 1'!C22</f>
        <v>6.6676010752525503</v>
      </c>
      <c r="D22">
        <f t="shared" si="579"/>
        <v>8.7708576314574298</v>
      </c>
    </row>
    <row r="23">
      <c r="A23">
        <f t="shared" si="578"/>
        <v>20</v>
      </c>
      <c r="B23">
        <v>0.18527521137964742</v>
      </c>
      <c r="C23">
        <f>'AR 1'!C23</f>
        <v>7.8523156414806703</v>
      </c>
      <c r="D23">
        <f t="shared" si="579"/>
        <v>7.65207559122502</v>
      </c>
    </row>
    <row r="24">
      <c r="A24">
        <f t="shared" si="578"/>
        <v>21</v>
      </c>
      <c r="B24">
        <v>-0.2220638394273014</v>
      </c>
      <c r="C24">
        <f>'AR 1'!C24</f>
        <v>7.91886241716497</v>
      </c>
      <c r="D24">
        <f t="shared" si="579"/>
        <v>8.1192951148196002</v>
      </c>
    </row>
    <row r="25">
      <c r="A25">
        <f t="shared" si="578"/>
        <v>22</v>
      </c>
      <c r="B25">
        <v>0.60504116436601907</v>
      </c>
      <c r="C25">
        <f>'AR 1'!C25</f>
        <v>8.7725861312320106</v>
      </c>
      <c r="D25">
        <f t="shared" si="579"/>
        <v>8.14553937121544</v>
      </c>
    </row>
    <row r="26">
      <c r="A26">
        <f t="shared" si="578"/>
        <v>23</v>
      </c>
      <c r="B26">
        <v>2.4090628953263198</v>
      </c>
      <c r="C26">
        <f>'AR 1'!C26</f>
        <v>10.918097347819099</v>
      </c>
      <c r="D26">
        <f t="shared" si="579"/>
        <v>8.4822250154527197</v>
      </c>
    </row>
    <row r="27">
      <c r="A27">
        <f t="shared" si="578"/>
        <v>24</v>
      </c>
      <c r="B27">
        <v>-0.22785690261685324</v>
      </c>
      <c r="C27">
        <f>'AR 1'!C27</f>
        <v>9.1393820365107903</v>
      </c>
      <c r="D27">
        <f t="shared" si="579"/>
        <v>9.3283568661584706</v>
      </c>
    </row>
    <row r="28">
      <c r="A28">
        <f t="shared" si="578"/>
        <v>25</v>
      </c>
      <c r="B28">
        <v>1.4933040877872452</v>
      </c>
      <c r="C28">
        <f>'AR 1'!C28</f>
        <v>10.1490569023916</v>
      </c>
      <c r="D28">
        <f t="shared" si="579"/>
        <v>8.6268794436213696</v>
      </c>
    </row>
    <row r="29">
      <c r="A29">
        <f t="shared" si="578"/>
        <v>26</v>
      </c>
      <c r="B29">
        <v>0.71349407818724175</v>
      </c>
      <c r="C29">
        <f>'AR 1'!C29</f>
        <v>9.7731168391438796</v>
      </c>
      <c r="D29">
        <f t="shared" si="579"/>
        <v>9.0250680227693199</v>
      </c>
    </row>
    <row r="30">
      <c r="A30">
        <f t="shared" si="578"/>
        <v>27</v>
      </c>
      <c r="B30">
        <v>-0.76524343436916198</v>
      </c>
      <c r="C30">
        <f>'AR 1'!C30</f>
        <v>8.1440033012883895</v>
      </c>
      <c r="D30">
        <f t="shared" si="579"/>
        <v>8.8768073849264493</v>
      </c>
    </row>
    <row r="31">
      <c r="A31">
        <f t="shared" si="578"/>
        <v>28</v>
      </c>
      <c r="B31">
        <v>-1.41910094409001</v>
      </c>
      <c r="C31">
        <f>'AR 1'!C31</f>
        <v>6.8385003764253502</v>
      </c>
      <c r="D31">
        <f t="shared" si="579"/>
        <v>8.23432887344695</v>
      </c>
    </row>
    <row r="32">
      <c r="A32">
        <f t="shared" si="578"/>
        <v>29</v>
      </c>
      <c r="B32">
        <v>1.4740369863748077</v>
      </c>
      <c r="C32">
        <f>'AR 1'!C32</f>
        <v>9.2094371369449508</v>
      </c>
      <c r="D32">
        <f t="shared" si="579"/>
        <v>7.7194736737275598</v>
      </c>
    </row>
    <row r="33">
      <c r="A33">
        <f t="shared" si="578"/>
        <v>30</v>
      </c>
      <c r="B33">
        <v>0.15337369729432532</v>
      </c>
      <c r="C33">
        <f>'AR 1'!C33</f>
        <v>8.8371485520723105</v>
      </c>
      <c r="D33">
        <f t="shared" si="579"/>
        <v>8.6545072888283592</v>
      </c>
    </row>
    <row r="34">
      <c r="A34">
        <f t="shared" si="578"/>
        <v>31</v>
      </c>
      <c r="B34">
        <v>-0.91392995787539277</v>
      </c>
      <c r="C34">
        <f>'AR 1'!C34</f>
        <v>7.6209294629535398</v>
      </c>
      <c r="D34">
        <f t="shared" si="579"/>
        <v>8.5076866957316692</v>
      </c>
    </row>
    <row r="35">
      <c r="A35">
        <f t="shared" si="578"/>
        <v>32</v>
      </c>
      <c r="B35">
        <v>-0.25821378573000997</v>
      </c>
      <c r="C35">
        <f>'AR 1'!C35</f>
        <v>7.7901579994514103</v>
      </c>
      <c r="D35">
        <f t="shared" si="579"/>
        <v>8.0280426366450399</v>
      </c>
    </row>
    <row r="36">
      <c r="A36">
        <f t="shared" si="578"/>
        <v>33</v>
      </c>
      <c r="B36">
        <v>-0.49661123146611519</v>
      </c>
      <c r="C36">
        <f>'AR 1'!C36</f>
        <v>7.6194519683144497</v>
      </c>
      <c r="D36">
        <f t="shared" si="579"/>
        <v>8.0947818145492008</v>
      </c>
    </row>
    <row r="37">
      <c r="A37">
        <f t="shared" si="578"/>
        <v>34</v>
      </c>
      <c r="B37">
        <v>1.0801200937235271</v>
      </c>
      <c r="C37">
        <f>'AR 1'!C37</f>
        <v>9.1279008810493103</v>
      </c>
      <c r="D37">
        <f t="shared" si="579"/>
        <v>8.0274599525445307</v>
      </c>
    </row>
    <row r="38">
      <c r="A38">
        <f t="shared" si="578"/>
        <v>35</v>
      </c>
      <c r="B38">
        <v>0.62769726735219566</v>
      </c>
      <c r="C38">
        <f>'AR 1'!C38</f>
        <v>9.2788576197719195</v>
      </c>
      <c r="D38">
        <f t="shared" si="579"/>
        <v>8.6223515850654397</v>
      </c>
    </row>
    <row r="39">
      <c r="A39">
        <f t="shared" si="578"/>
        <v>36</v>
      </c>
      <c r="B39">
        <v>-4.7183894609775658e-02</v>
      </c>
      <c r="C39">
        <f>'AR 1'!C39</f>
        <v>8.6643591532989994</v>
      </c>
      <c r="D39">
        <f t="shared" si="579"/>
        <v>8.6818848579396999</v>
      </c>
    </row>
    <row r="40">
      <c r="A40">
        <f t="shared" si="578"/>
        <v>37</v>
      </c>
      <c r="B40">
        <v>1.2597876850887306</v>
      </c>
      <c r="C40">
        <f>'AR 1'!C40</f>
        <v>9.7255313464083297</v>
      </c>
      <c r="D40">
        <f t="shared" si="579"/>
        <v>8.4395432096309708</v>
      </c>
    </row>
    <row r="41">
      <c r="A41">
        <f t="shared" si="578"/>
        <v>38</v>
      </c>
      <c r="B41">
        <v>2.5165584473214784</v>
      </c>
      <c r="C41">
        <f>'AR 1'!C41</f>
        <v>11.406770985884799</v>
      </c>
      <c r="D41">
        <f t="shared" si="579"/>
        <v>8.8580409479468702</v>
      </c>
    </row>
    <row r="42">
      <c r="A42">
        <f t="shared" si="578"/>
        <v>39</v>
      </c>
      <c r="B42">
        <v>0.27095358748665704</v>
      </c>
      <c r="C42">
        <f>'AR 1'!C42</f>
        <v>9.8336619818405797</v>
      </c>
      <c r="D42">
        <f t="shared" si="579"/>
        <v>9.5210765902834193</v>
      </c>
    </row>
    <row r="43">
      <c r="A43">
        <f t="shared" si="578"/>
        <v>40</v>
      </c>
      <c r="B43">
        <v>-0.47142727098497039</v>
      </c>
      <c r="C43">
        <f>'AR 1'!C43</f>
        <v>8.4620375217512596</v>
      </c>
      <c r="D43">
        <f t="shared" si="579"/>
        <v>8.9006847588805709</v>
      </c>
    </row>
    <row r="44">
      <c r="A44">
        <f t="shared" si="578"/>
        <v>41</v>
      </c>
      <c r="B44">
        <v>-1.3509821338183614</v>
      </c>
      <c r="C44">
        <f>'AR 1'!C44</f>
        <v>7.0338328748821404</v>
      </c>
      <c r="D44">
        <f t="shared" si="579"/>
        <v>8.3597530061513492</v>
      </c>
    </row>
    <row r="45">
      <c r="A45">
        <f t="shared" si="578"/>
        <v>42</v>
      </c>
      <c r="B45">
        <v>-0.52523357627441403</v>
      </c>
      <c r="C45">
        <f>'AR 1'!C45</f>
        <v>7.2882995736784499</v>
      </c>
      <c r="D45">
        <f t="shared" si="579"/>
        <v>7.79650755131554</v>
      </c>
    </row>
    <row r="46">
      <c r="A46">
        <f t="shared" si="578"/>
        <v>43</v>
      </c>
      <c r="B46">
        <v>0.9713555761936753</v>
      </c>
      <c r="C46">
        <f>'AR 1'!C46</f>
        <v>8.8866754056650592</v>
      </c>
      <c r="D46">
        <f t="shared" si="579"/>
        <v>7.89686236518504</v>
      </c>
    </row>
    <row r="47">
      <c r="A47">
        <f t="shared" si="578"/>
        <v>44</v>
      </c>
      <c r="B47">
        <v>-1.0748501156519588</v>
      </c>
      <c r="C47">
        <f>'AR 1'!C47</f>
        <v>7.4798200466140603</v>
      </c>
      <c r="D47">
        <f t="shared" si="579"/>
        <v>8.5272187531574701</v>
      </c>
    </row>
    <row r="48">
      <c r="A48">
        <f t="shared" si="578"/>
        <v>45</v>
      </c>
      <c r="B48">
        <v>1.7738103479768892</v>
      </c>
      <c r="C48">
        <f>'AR 1'!C48</f>
        <v>9.7657383666225108</v>
      </c>
      <c r="D48">
        <f t="shared" si="579"/>
        <v>7.9723928825555399</v>
      </c>
    </row>
    <row r="49">
      <c r="A49">
        <f t="shared" si="578"/>
        <v>46</v>
      </c>
      <c r="B49">
        <v>-0.96159497995241305</v>
      </c>
      <c r="C49">
        <f>'AR 1'!C49</f>
        <v>7.9447003666966003</v>
      </c>
      <c r="D49">
        <f t="shared" si="579"/>
        <v>8.8738975140473695</v>
      </c>
    </row>
    <row r="50">
      <c r="A50">
        <f t="shared" si="578"/>
        <v>47</v>
      </c>
      <c r="B50">
        <v>-1.3487968912158848</v>
      </c>
      <c r="C50">
        <f>'AR 1'!C50</f>
        <v>6.8290832554627601</v>
      </c>
      <c r="D50">
        <f t="shared" si="579"/>
        <v>8.1557291627609807</v>
      </c>
    </row>
    <row r="51">
      <c r="A51">
        <f t="shared" si="578"/>
        <v>48</v>
      </c>
      <c r="B51">
        <v>0.18934575003145279</v>
      </c>
      <c r="C51">
        <f>'AR 1'!C51</f>
        <v>7.9209790522165502</v>
      </c>
      <c r="D51">
        <f t="shared" si="579"/>
        <v>7.7157598147988402</v>
      </c>
    </row>
    <row r="52">
      <c r="A52">
        <f t="shared" si="578"/>
        <v>49</v>
      </c>
      <c r="B52">
        <v>-2.2171935642462177</v>
      </c>
      <c r="C52">
        <f>'AR 1'!C52</f>
        <v>5.9511980566403997</v>
      </c>
      <c r="D52">
        <f t="shared" si="579"/>
        <v>8.1463741150842299</v>
      </c>
    </row>
    <row r="53">
      <c r="A53">
        <f t="shared" si="578"/>
        <v>50</v>
      </c>
      <c r="B53">
        <v>-0.15611584341500756</v>
      </c>
      <c r="C53">
        <f>'AR 1'!C53</f>
        <v>7.2243633792411499</v>
      </c>
      <c r="D53">
        <f t="shared" si="579"/>
        <v>7.3695455315808998</v>
      </c>
    </row>
    <row r="54">
      <c r="A54">
        <f t="shared" si="578"/>
        <v>51</v>
      </c>
      <c r="B54">
        <v>0.1487533713317542</v>
      </c>
      <c r="C54">
        <f>'AR 1'!C54</f>
        <v>8.0384987230282192</v>
      </c>
      <c r="D54">
        <f t="shared" si="579"/>
        <v>7.87164765173676</v>
      </c>
    </row>
    <row r="55">
      <c r="A55">
        <f t="shared" si="578"/>
        <v>52</v>
      </c>
      <c r="B55">
        <v>-0.47544656135152208</v>
      </c>
      <c r="C55">
        <f>'AR 1'!C55</f>
        <v>7.7399529278597701</v>
      </c>
      <c r="D55">
        <f t="shared" si="579"/>
        <v>8.1927207087489293</v>
      </c>
    </row>
    <row r="56">
      <c r="A56">
        <f t="shared" si="578"/>
        <v>53</v>
      </c>
      <c r="B56">
        <v>0.85919497639068365</v>
      </c>
      <c r="C56">
        <f>'AR 1'!C56</f>
        <v>8.9551761475345995</v>
      </c>
      <c r="D56">
        <f t="shared" si="579"/>
        <v>8.0749822862073106</v>
      </c>
    </row>
    <row r="57">
      <c r="A57">
        <f t="shared" si="578"/>
        <v>54</v>
      </c>
      <c r="B57">
        <v>1.3246162518823315</v>
      </c>
      <c r="C57">
        <f>'AR 1'!C57</f>
        <v>9.9066867108961691</v>
      </c>
      <c r="D57">
        <f t="shared" si="579"/>
        <v>8.5542336012014601</v>
      </c>
    </row>
    <row r="58">
      <c r="A58">
        <f t="shared" si="578"/>
        <v>55</v>
      </c>
      <c r="B58">
        <v>1.2039291261462839</v>
      </c>
      <c r="C58">
        <f>'AR 1'!C58</f>
        <v>10.1666038105048</v>
      </c>
      <c r="D58">
        <f t="shared" si="579"/>
        <v>8.9294837456513694</v>
      </c>
    </row>
    <row r="59">
      <c r="A59">
        <f t="shared" si="578"/>
        <v>56</v>
      </c>
      <c r="B59">
        <v>4.9959592389363879e-02</v>
      </c>
      <c r="C59">
        <f>'AR 1'!C59</f>
        <v>9.1166011165912906</v>
      </c>
      <c r="D59">
        <f t="shared" si="579"/>
        <v>9.0319880508359205</v>
      </c>
    </row>
    <row r="60">
      <c r="A60">
        <f t="shared" si="578"/>
        <v>57</v>
      </c>
      <c r="B60">
        <v>-1.1481030425994976</v>
      </c>
      <c r="C60">
        <f>'AR 1'!C60</f>
        <v>7.4985374040370196</v>
      </c>
      <c r="D60">
        <f t="shared" si="579"/>
        <v>8.6178952622368801</v>
      </c>
    </row>
    <row r="61">
      <c r="A61">
        <f t="shared" si="578"/>
        <v>58</v>
      </c>
      <c r="B61">
        <v>-1.2999610098507186</v>
      </c>
      <c r="C61">
        <f>'AR 1'!C61</f>
        <v>6.6994539517640899</v>
      </c>
      <c r="D61">
        <f t="shared" si="579"/>
        <v>7.9797745043127097</v>
      </c>
    </row>
    <row r="62">
      <c r="A62">
        <f t="shared" si="578"/>
        <v>59</v>
      </c>
      <c r="B62">
        <v>2.3091411480625057</v>
      </c>
      <c r="C62">
        <f>'AR 1'!C62</f>
        <v>9.9889227287681503</v>
      </c>
      <c r="D62">
        <f t="shared" si="579"/>
        <v>7.6646375080048701</v>
      </c>
    </row>
    <row r="63">
      <c r="A63">
        <f t="shared" si="578"/>
        <v>60</v>
      </c>
      <c r="B63">
        <v>-0.42761844974413882</v>
      </c>
      <c r="C63">
        <f>'AR 1'!C63</f>
        <v>8.5679506417631206</v>
      </c>
      <c r="D63">
        <f t="shared" si="579"/>
        <v>8.9619154166949606</v>
      </c>
    </row>
    <row r="64">
      <c r="A64">
        <f t="shared" si="578"/>
        <v>61</v>
      </c>
      <c r="B64">
        <v>2.7134767554812287</v>
      </c>
      <c r="C64">
        <f>'AR 1'!C64</f>
        <v>11.1406570121865</v>
      </c>
      <c r="D64">
        <f t="shared" si="579"/>
        <v>8.4015222887152596</v>
      </c>
    </row>
    <row r="65">
      <c r="A65">
        <f t="shared" si="578"/>
        <v>62</v>
      </c>
      <c r="B65">
        <v>1.4055530411870727</v>
      </c>
      <c r="C65">
        <f>'AR 1'!C65</f>
        <v>10.861815846061701</v>
      </c>
      <c r="D65">
        <f t="shared" si="579"/>
        <v>9.4161284048238301</v>
      </c>
    </row>
    <row r="66">
      <c r="A66">
        <f t="shared" si="578"/>
        <v>63</v>
      </c>
      <c r="B66">
        <v>-2.3970970128170639</v>
      </c>
      <c r="C66">
        <f>'AR 1'!C66</f>
        <v>6.94762932560762</v>
      </c>
      <c r="D66">
        <f t="shared" si="579"/>
        <v>9.3061609573819002</v>
      </c>
    </row>
    <row r="67">
      <c r="A67">
        <f t="shared" si="578"/>
        <v>64</v>
      </c>
      <c r="B67">
        <v>-1.3982167784378965</v>
      </c>
      <c r="C67">
        <f>'AR 1'!C67</f>
        <v>6.3808349518051504</v>
      </c>
      <c r="D67">
        <f t="shared" si="579"/>
        <v>7.7625111927222399</v>
      </c>
    </row>
    <row r="68">
      <c r="A68">
        <f t="shared" si="578"/>
        <v>65</v>
      </c>
      <c r="B68">
        <v>1.5203453639068958</v>
      </c>
      <c r="C68">
        <f>'AR 1'!C68</f>
        <v>9.0726793446289609</v>
      </c>
      <c r="D68">
        <f t="shared" si="579"/>
        <v>7.5389827540138299</v>
      </c>
    </row>
    <row r="69">
      <c r="A69">
        <f t="shared" si="578"/>
        <v>66</v>
      </c>
      <c r="B69">
        <v>-1.796693354333766</v>
      </c>
      <c r="C69">
        <f>'AR 1'!C69</f>
        <v>6.8323783835178098</v>
      </c>
      <c r="D69">
        <f t="shared" si="579"/>
        <v>8.6005736980756495</v>
      </c>
    </row>
    <row r="70">
      <c r="A70">
        <f t="shared" si="578"/>
        <v>67</v>
      </c>
      <c r="B70">
        <v>-0.38337016660247258</v>
      </c>
      <c r="C70">
        <f>'AR 1'!C70</f>
        <v>7.3495811868046497</v>
      </c>
      <c r="D70">
        <f t="shared" si="579"/>
        <v>7.7170593245744001</v>
      </c>
    </row>
    <row r="71">
      <c r="A71">
        <f t="shared" si="578"/>
        <v>68</v>
      </c>
      <c r="B71">
        <v>0.7237406021617061</v>
      </c>
      <c r="C71">
        <f>'AR 1'!C71</f>
        <v>8.6635730768835693</v>
      </c>
      <c r="D71">
        <f t="shared" si="579"/>
        <v>7.9210301832452901</v>
      </c>
    </row>
    <row r="72">
      <c r="A72">
        <f t="shared" si="578"/>
        <v>69</v>
      </c>
      <c r="B72">
        <v>0.15450598594324802</v>
      </c>
      <c r="C72">
        <f>'AR 1'!C72</f>
        <v>8.6199352166966801</v>
      </c>
      <c r="D72">
        <f t="shared" si="579"/>
        <v>8.43923320225975</v>
      </c>
    </row>
    <row r="73">
      <c r="A73">
        <f t="shared" si="578"/>
        <v>70</v>
      </c>
      <c r="B73">
        <v>0.63496088513469295</v>
      </c>
      <c r="C73">
        <f>'AR 1'!C73</f>
        <v>9.0829349718133603</v>
      </c>
      <c r="D73">
        <f t="shared" si="579"/>
        <v>8.4220236052577295</v>
      </c>
    </row>
    <row r="74">
      <c r="A74">
        <f t="shared" si="578"/>
        <v>71</v>
      </c>
      <c r="B74">
        <v>0.54648580305162842</v>
      </c>
      <c r="C74">
        <f>'AR 1'!C74</f>
        <v>9.1796597917769702</v>
      </c>
      <c r="D74">
        <f t="shared" si="579"/>
        <v>8.6046182412794305</v>
      </c>
    </row>
    <row r="75">
      <c r="A75">
        <f t="shared" ref="A75:A100" si="580">A74+1</f>
        <v>72</v>
      </c>
      <c r="B75">
        <v>-1.8232742163593529</v>
      </c>
      <c r="C75">
        <f>'AR 1'!C75</f>
        <v>6.8485897003514404</v>
      </c>
      <c r="D75">
        <f t="shared" ref="D75:D100" si="581">$F$5+C74*$F$6</f>
        <v>8.6427639057216705</v>
      </c>
    </row>
    <row r="76">
      <c r="A76">
        <f t="shared" si="580"/>
        <v>73</v>
      </c>
      <c r="B76">
        <v>1.075018827880697e-02</v>
      </c>
      <c r="C76">
        <f>'AR 1'!C76</f>
        <v>7.7501860684193904</v>
      </c>
      <c r="D76">
        <f t="shared" si="581"/>
        <v>7.7234526314043803</v>
      </c>
    </row>
    <row r="77">
      <c r="A77">
        <f t="shared" si="580"/>
        <v>74</v>
      </c>
      <c r="B77">
        <v>0.7330775382125061</v>
      </c>
      <c r="C77">
        <f>'AR 1'!C77</f>
        <v>8.8331519655802708</v>
      </c>
      <c r="D77">
        <f t="shared" si="581"/>
        <v>8.0790179612917896</v>
      </c>
    </row>
    <row r="78">
      <c r="A78">
        <f t="shared" si="580"/>
        <v>75</v>
      </c>
      <c r="B78">
        <v>0.83783470743166322</v>
      </c>
      <c r="C78">
        <f>'AR 1'!C78</f>
        <v>9.3710954936637805</v>
      </c>
      <c r="D78">
        <f t="shared" si="581"/>
        <v>8.5061105496370395</v>
      </c>
    </row>
    <row r="79">
      <c r="A79">
        <f t="shared" si="580"/>
        <v>76</v>
      </c>
      <c r="B79">
        <v>-9.5603721077263226e-02</v>
      </c>
      <c r="C79">
        <f>'AR 1'!C79</f>
        <v>8.6528344763882501</v>
      </c>
      <c r="D79">
        <f t="shared" si="581"/>
        <v>8.7182609916731995</v>
      </c>
    </row>
    <row r="80">
      <c r="A80">
        <f t="shared" si="580"/>
        <v>77</v>
      </c>
      <c r="B80">
        <v>0.7953320963325331</v>
      </c>
      <c r="C80">
        <f>'AR 1'!C80</f>
        <v>9.2564658868878293</v>
      </c>
      <c r="D80">
        <f t="shared" si="581"/>
        <v>8.4349981873873805</v>
      </c>
    </row>
    <row r="81">
      <c r="A81">
        <f t="shared" si="580"/>
        <v>78</v>
      </c>
      <c r="B81">
        <v>0.94881052998886894</v>
      </c>
      <c r="C81">
        <f>'AR 1'!C81</f>
        <v>9.6513968847440008</v>
      </c>
      <c r="D81">
        <f t="shared" si="581"/>
        <v>8.6730541614421703</v>
      </c>
    </row>
    <row r="82">
      <c r="A82">
        <f t="shared" si="580"/>
        <v>79</v>
      </c>
      <c r="B82">
        <v>-2.2091954953374748</v>
      </c>
      <c r="C82">
        <f>'AR 1'!C82</f>
        <v>6.6513632585601199</v>
      </c>
      <c r="D82">
        <f t="shared" si="581"/>
        <v>8.8288043125174394</v>
      </c>
    </row>
    <row r="83">
      <c r="A83">
        <f t="shared" si="580"/>
        <v>80</v>
      </c>
      <c r="B83">
        <v>0.58428471659950165</v>
      </c>
      <c r="C83">
        <f>'AR 1'!C83</f>
        <v>8.2448300200235494</v>
      </c>
      <c r="D83">
        <f t="shared" si="581"/>
        <v>7.6456718335643004</v>
      </c>
    </row>
    <row r="84">
      <c r="A84">
        <f t="shared" si="580"/>
        <v>81</v>
      </c>
      <c r="B84">
        <v>-2.2565728658251021</v>
      </c>
      <c r="C84">
        <f>'AR 1'!C84</f>
        <v>6.0413591421843202</v>
      </c>
      <c r="D84">
        <f t="shared" si="581"/>
        <v>8.2740922163110699</v>
      </c>
    </row>
    <row r="85">
      <c r="A85">
        <f t="shared" si="580"/>
        <v>82</v>
      </c>
      <c r="B85">
        <v>0.232819083944728</v>
      </c>
      <c r="C85">
        <f>'AR 1'!C85</f>
        <v>7.6493627408184599</v>
      </c>
      <c r="D85">
        <f t="shared" si="581"/>
        <v>7.4051026359125496</v>
      </c>
    </row>
    <row r="86">
      <c r="A86">
        <f t="shared" si="580"/>
        <v>83</v>
      </c>
      <c r="B86">
        <v>0.49524033527740025</v>
      </c>
      <c r="C86">
        <f>'AR 1'!C86</f>
        <v>8.5549854316047806</v>
      </c>
      <c r="D86">
        <f t="shared" si="581"/>
        <v>8.0392559557996908</v>
      </c>
    </row>
    <row r="87">
      <c r="A87">
        <f t="shared" si="580"/>
        <v>84</v>
      </c>
      <c r="B87">
        <v>0.89450133380532859</v>
      </c>
      <c r="C87">
        <f>'AR 1'!C87</f>
        <v>9.3164955064472394</v>
      </c>
      <c r="D87">
        <f t="shared" si="581"/>
        <v>8.3964091589486802</v>
      </c>
    </row>
    <row r="88">
      <c r="A88">
        <f t="shared" si="580"/>
        <v>85</v>
      </c>
      <c r="B88">
        <v>0.66143975641931108</v>
      </c>
      <c r="C88">
        <f>'AR 1'!C88</f>
        <v>9.3880379589982095</v>
      </c>
      <c r="D88">
        <f t="shared" si="581"/>
        <v>8.6967282269526596</v>
      </c>
    </row>
    <row r="89">
      <c r="A89">
        <f t="shared" si="580"/>
        <v>86</v>
      </c>
      <c r="B89">
        <v>6.3199556908929588e-02</v>
      </c>
      <c r="C89">
        <f>'AR 1'!C89</f>
        <v>8.8184147405082101</v>
      </c>
      <c r="D89">
        <f t="shared" si="581"/>
        <v>8.7249426437839404</v>
      </c>
    </row>
    <row r="90">
      <c r="A90">
        <f t="shared" si="580"/>
        <v>87</v>
      </c>
      <c r="B90">
        <v>0.38254277742889281</v>
      </c>
      <c r="C90">
        <f>'AR 1'!C90</f>
        <v>8.9099086736321809</v>
      </c>
      <c r="D90">
        <f t="shared" si="581"/>
        <v>8.5002985849043107</v>
      </c>
    </row>
    <row r="91">
      <c r="A91">
        <f t="shared" si="580"/>
        <v>88</v>
      </c>
      <c r="B91">
        <v>-6.7312472198635689e-02</v>
      </c>
      <c r="C91">
        <f>'AR 1'!C91</f>
        <v>8.4966509972542408</v>
      </c>
      <c r="D91">
        <f t="shared" si="581"/>
        <v>8.5363813284313608</v>
      </c>
    </row>
    <row r="92">
      <c r="A92">
        <f t="shared" si="580"/>
        <v>89</v>
      </c>
      <c r="B92">
        <v>1.1971018891493823</v>
      </c>
      <c r="C92">
        <f>'AR 1'!C92</f>
        <v>9.5957622880510804</v>
      </c>
      <c r="D92">
        <f t="shared" si="581"/>
        <v>8.3734036288375808</v>
      </c>
    </row>
    <row r="93">
      <c r="A93">
        <f t="shared" si="580"/>
        <v>90</v>
      </c>
      <c r="B93">
        <v>0.59579933443828093</v>
      </c>
      <c r="C93">
        <f>'AR 1'!C93</f>
        <v>9.4341042496587093</v>
      </c>
      <c r="D93">
        <f t="shared" si="581"/>
        <v>8.8068635256787999</v>
      </c>
    </row>
    <row r="94">
      <c r="A94">
        <f t="shared" si="580"/>
        <v>91</v>
      </c>
      <c r="B94">
        <v>-0.41866766867043592</v>
      </c>
      <c r="C94">
        <f>'AR 1'!C94</f>
        <v>8.3549740311930503</v>
      </c>
      <c r="D94">
        <f t="shared" si="581"/>
        <v>8.7431099483733394</v>
      </c>
    </row>
    <row r="95">
      <c r="A95">
        <f t="shared" si="580"/>
        <v>92</v>
      </c>
      <c r="B95">
        <v>0.49549703119367117</v>
      </c>
      <c r="C95">
        <f>'AR 1'!C95</f>
        <v>8.8374866436708892</v>
      </c>
      <c r="D95">
        <f t="shared" si="581"/>
        <v>8.3175300484204993</v>
      </c>
    </row>
    <row r="96">
      <c r="A96">
        <f t="shared" si="580"/>
        <v>93</v>
      </c>
      <c r="B96">
        <v>-0.73198957727372749</v>
      </c>
      <c r="C96">
        <f>'AR 1'!C96</f>
        <v>7.8030050801946302</v>
      </c>
      <c r="D96">
        <f t="shared" si="581"/>
        <v>8.5078200299542104</v>
      </c>
    </row>
    <row r="97">
      <c r="A97">
        <f t="shared" si="580"/>
        <v>94</v>
      </c>
      <c r="B97">
        <v>-1.6890694051115556</v>
      </c>
      <c r="C97">
        <f>'AR 1'!C97</f>
        <v>6.4321326269662897</v>
      </c>
      <c r="D97">
        <f t="shared" si="581"/>
        <v>8.0998483572553805</v>
      </c>
    </row>
    <row r="98">
      <c r="A98">
        <f t="shared" si="580"/>
        <v>95</v>
      </c>
      <c r="B98">
        <v>0.63418513232695795</v>
      </c>
      <c r="C98">
        <f>'AR 1'!C98</f>
        <v>8.2070381831134807</v>
      </c>
      <c r="D98">
        <f t="shared" si="581"/>
        <v>7.5592131757825101</v>
      </c>
    </row>
    <row r="99">
      <c r="A99">
        <f t="shared" si="580"/>
        <v>96</v>
      </c>
      <c r="B99">
        <v>-1.3893141203729289</v>
      </c>
      <c r="C99">
        <f>'AR 1'!C99</f>
        <v>6.8935011528724601</v>
      </c>
      <c r="D99">
        <f t="shared" si="581"/>
        <v>8.2591881334710102</v>
      </c>
    </row>
    <row r="100">
      <c r="A100">
        <f t="shared" si="580"/>
        <v>97</v>
      </c>
      <c r="B100">
        <v>-1.1760428057670615</v>
      </c>
      <c r="C100">
        <f>'AR 1'!C100</f>
        <v>6.58135765538192</v>
      </c>
      <c r="D100">
        <f t="shared" si="581"/>
        <v>7.7411644989284101</v>
      </c>
    </row>
    <row r="101">
      <c r="A101">
        <f t="shared" ref="A101:A103" si="582">A100+1</f>
        <v>98</v>
      </c>
      <c r="B101">
        <v>-0.90942951113553827</v>
      </c>
      <c r="C101">
        <f>'AR 1'!C101</f>
        <v>6.7231135510172297</v>
      </c>
      <c r="D101">
        <f t="shared" ref="D101:D103" si="583">$F$5+C100*$F$6</f>
        <v>7.6180635087422202</v>
      </c>
    </row>
    <row r="102">
      <c r="A102">
        <f t="shared" si="582"/>
        <v>99</v>
      </c>
      <c r="B102">
        <v>-2.0861429707489747</v>
      </c>
      <c r="C102">
        <f>'AR 1'!C102</f>
        <v>5.6031024496579098</v>
      </c>
      <c r="D102">
        <f t="shared" si="583"/>
        <v>7.6739682168579604</v>
      </c>
    </row>
    <row r="103">
      <c r="A103">
        <f t="shared" si="582"/>
        <v>100</v>
      </c>
      <c r="B103" s="14">
        <v>1.0086025406962058</v>
      </c>
      <c r="C103" s="14">
        <f>'AR 1'!C103</f>
        <v>8.2498435205593701</v>
      </c>
      <c r="D103" s="14">
        <f t="shared" si="583"/>
        <v>7.2322659975092201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6" max="6" width="4.2678570000000002"/>
    <col customWidth="1" min="7" max="7" width="18.178571000000002"/>
  </cols>
  <sheetData>
    <row r="1">
      <c r="A1" s="52" t="s">
        <v>431</v>
      </c>
    </row>
    <row r="3">
      <c r="B3" s="4" t="s">
        <v>454</v>
      </c>
      <c r="D3" t="s">
        <v>283</v>
      </c>
      <c r="E3" s="7">
        <f>AVERAGE(B4:B103)</f>
        <v>8.2275470269258193</v>
      </c>
      <c r="G3" t="e">
        <v>#NAME?</v>
      </c>
    </row>
    <row r="4">
      <c r="A4" s="15">
        <v>1</v>
      </c>
      <c r="B4">
        <v>4.3021475051980769</v>
      </c>
      <c r="D4" t="s">
        <v>455</v>
      </c>
      <c r="E4" s="10">
        <f>VARP(B4:B103)</f>
        <v>1.6835418364572901</v>
      </c>
      <c r="G4" t="e">
        <v>#NAME?</v>
      </c>
    </row>
    <row r="5">
      <c r="A5" s="15">
        <f t="shared" ref="A5:A10" si="584">A4+1</f>
        <v>2</v>
      </c>
      <c r="B5">
        <v>6.1430149110931316</v>
      </c>
      <c r="D5" t="s">
        <v>456</v>
      </c>
      <c r="E5" s="10" t="e">
        <v>#NAME?</v>
      </c>
      <c r="G5" t="e">
        <v>#NAME?</v>
      </c>
    </row>
    <row r="6">
      <c r="A6" s="15">
        <f t="shared" si="584"/>
        <v>3</v>
      </c>
      <c r="B6">
        <v>6.3459572674893705</v>
      </c>
      <c r="D6" t="s">
        <v>446</v>
      </c>
      <c r="E6" s="13" t="e">
        <v>#NAME?</v>
      </c>
      <c r="G6" t="e">
        <v>#NAME?</v>
      </c>
    </row>
    <row r="7">
      <c r="A7" s="15">
        <f t="shared" si="584"/>
        <v>4</v>
      </c>
      <c r="B7">
        <v>6.9780493152929868</v>
      </c>
    </row>
    <row r="8">
      <c r="A8" s="15">
        <f t="shared" si="584"/>
        <v>5</v>
      </c>
      <c r="B8">
        <v>9.4477537014508481</v>
      </c>
      <c r="D8" s="54" t="s">
        <v>449</v>
      </c>
      <c r="E8" s="7" t="e">
        <f>E6</f>
        <v>#NAME?</v>
      </c>
      <c r="G8" t="e">
        <v>#NAME?</v>
      </c>
    </row>
    <row r="9">
      <c r="A9" s="15">
        <f t="shared" si="584"/>
        <v>6</v>
      </c>
      <c r="B9">
        <v>8.3642522446696166</v>
      </c>
      <c r="D9" s="54" t="s">
        <v>448</v>
      </c>
      <c r="E9" s="10" t="e">
        <f>E3*(1-E8)</f>
        <v>#NAME?</v>
      </c>
      <c r="G9" t="e">
        <v>#NAME?</v>
      </c>
    </row>
    <row r="10" ht="15" customHeight="1">
      <c r="A10" s="15">
        <f t="shared" si="584"/>
        <v>7</v>
      </c>
      <c r="B10">
        <v>7.0707696895845489</v>
      </c>
      <c r="D10" t="s">
        <v>457</v>
      </c>
      <c r="E10" s="13" t="e">
        <f>E4*(1-E8^2)</f>
        <v>#NAME?</v>
      </c>
      <c r="G10" t="e">
        <v>#NAME?</v>
      </c>
    </row>
    <row r="11">
      <c r="A11" s="15">
        <f t="shared" ref="A11:A74" si="585">A10+1</f>
        <v>8</v>
      </c>
      <c r="B11">
        <v>7.0223724931102565</v>
      </c>
    </row>
    <row r="12">
      <c r="A12" s="15">
        <f t="shared" si="585"/>
        <v>9</v>
      </c>
      <c r="B12">
        <v>7.6294074398052816</v>
      </c>
    </row>
    <row r="13">
      <c r="A13" s="15">
        <f t="shared" si="585"/>
        <v>10</v>
      </c>
      <c r="B13">
        <v>7.4517411771940036</v>
      </c>
    </row>
    <row r="14">
      <c r="A14" s="15">
        <f t="shared" si="585"/>
        <v>11</v>
      </c>
      <c r="B14">
        <v>7.3130631313404661</v>
      </c>
    </row>
    <row r="15">
      <c r="A15" s="15">
        <f t="shared" si="585"/>
        <v>12</v>
      </c>
      <c r="B15">
        <v>6.7369511871069454</v>
      </c>
    </row>
    <row r="16">
      <c r="A16" s="15">
        <f t="shared" si="585"/>
        <v>13</v>
      </c>
      <c r="B16">
        <v>7.6354174876257783</v>
      </c>
    </row>
    <row r="17">
      <c r="A17" s="15">
        <f t="shared" si="585"/>
        <v>14</v>
      </c>
      <c r="B17">
        <v>8.3342560076615957</v>
      </c>
    </row>
    <row r="18">
      <c r="A18" s="15">
        <f t="shared" si="585"/>
        <v>15</v>
      </c>
      <c r="B18">
        <v>8.5141776386100858</v>
      </c>
    </row>
    <row r="19">
      <c r="A19" s="15">
        <f t="shared" si="585"/>
        <v>16</v>
      </c>
      <c r="B19">
        <v>9.4761147740463922</v>
      </c>
    </row>
    <row r="20">
      <c r="A20" s="15">
        <f t="shared" si="585"/>
        <v>17</v>
      </c>
      <c r="B20">
        <v>8.4497227967860145</v>
      </c>
    </row>
    <row r="21">
      <c r="A21" s="15">
        <f t="shared" si="585"/>
        <v>18</v>
      </c>
      <c r="B21">
        <v>9.5044632194121288</v>
      </c>
    </row>
    <row r="22">
      <c r="A22" s="15">
        <f t="shared" si="585"/>
        <v>19</v>
      </c>
      <c r="B22">
        <v>6.6676010752525539</v>
      </c>
    </row>
    <row r="23">
      <c r="A23" s="15">
        <f t="shared" si="585"/>
        <v>20</v>
      </c>
      <c r="B23">
        <v>7.8523156414806685</v>
      </c>
    </row>
    <row r="24">
      <c r="A24" s="15">
        <f t="shared" si="585"/>
        <v>21</v>
      </c>
      <c r="B24">
        <v>7.9188624171649664</v>
      </c>
    </row>
    <row r="25">
      <c r="A25" s="15">
        <f t="shared" si="585"/>
        <v>22</v>
      </c>
      <c r="B25">
        <v>8.7725861312320053</v>
      </c>
    </row>
    <row r="26">
      <c r="A26" s="15">
        <f t="shared" si="585"/>
        <v>23</v>
      </c>
      <c r="B26">
        <v>10.918097347819121</v>
      </c>
    </row>
    <row r="27">
      <c r="A27" s="15">
        <f t="shared" si="585"/>
        <v>24</v>
      </c>
      <c r="B27">
        <v>9.1393820365107974</v>
      </c>
    </row>
    <row r="28">
      <c r="A28" s="15">
        <f t="shared" si="585"/>
        <v>25</v>
      </c>
      <c r="B28">
        <v>10.149056902391564</v>
      </c>
    </row>
    <row r="29">
      <c r="A29" s="15">
        <f t="shared" si="585"/>
        <v>26</v>
      </c>
      <c r="B29">
        <v>9.7731168391438707</v>
      </c>
    </row>
    <row r="30">
      <c r="A30" s="15">
        <f t="shared" si="585"/>
        <v>27</v>
      </c>
      <c r="B30">
        <v>8.1440033012883841</v>
      </c>
    </row>
    <row r="31">
      <c r="A31" s="15">
        <f t="shared" si="585"/>
        <v>28</v>
      </c>
      <c r="B31">
        <v>6.838500376425344</v>
      </c>
    </row>
    <row r="32">
      <c r="A32" s="15">
        <f t="shared" si="585"/>
        <v>29</v>
      </c>
      <c r="B32">
        <v>9.2094371369449437</v>
      </c>
    </row>
    <row r="33">
      <c r="A33" s="15">
        <f t="shared" si="585"/>
        <v>30</v>
      </c>
      <c r="B33">
        <v>8.8371485520723017</v>
      </c>
    </row>
    <row r="34">
      <c r="A34" s="15">
        <f t="shared" si="585"/>
        <v>31</v>
      </c>
      <c r="B34">
        <v>7.6209294629535282</v>
      </c>
    </row>
    <row r="35">
      <c r="A35" s="15">
        <f t="shared" si="585"/>
        <v>32</v>
      </c>
      <c r="B35">
        <v>7.7901579994513988</v>
      </c>
    </row>
    <row r="36">
      <c r="A36" s="15">
        <f t="shared" si="585"/>
        <v>33</v>
      </c>
      <c r="B36">
        <v>7.6194519683144444</v>
      </c>
    </row>
    <row r="37">
      <c r="A37" s="15">
        <f t="shared" si="585"/>
        <v>34</v>
      </c>
      <c r="B37">
        <v>9.127900881049305</v>
      </c>
    </row>
    <row r="38">
      <c r="A38" s="15">
        <f t="shared" si="585"/>
        <v>35</v>
      </c>
      <c r="B38">
        <v>9.2788576197719177</v>
      </c>
    </row>
    <row r="39">
      <c r="A39" s="15">
        <f t="shared" si="585"/>
        <v>36</v>
      </c>
      <c r="B39">
        <v>8.6643591532989923</v>
      </c>
    </row>
    <row r="40">
      <c r="A40" s="15">
        <f t="shared" si="585"/>
        <v>37</v>
      </c>
      <c r="B40">
        <v>9.7255313464083262</v>
      </c>
    </row>
    <row r="41">
      <c r="A41" s="15">
        <f t="shared" si="585"/>
        <v>38</v>
      </c>
      <c r="B41">
        <v>11.406770985884808</v>
      </c>
    </row>
    <row r="42">
      <c r="A42" s="15">
        <f t="shared" si="585"/>
        <v>39</v>
      </c>
      <c r="B42">
        <v>9.8336619818405779</v>
      </c>
    </row>
    <row r="43">
      <c r="A43" s="15">
        <f t="shared" si="585"/>
        <v>40</v>
      </c>
      <c r="B43">
        <v>8.4620375217512596</v>
      </c>
    </row>
    <row r="44">
      <c r="A44" s="15">
        <f t="shared" si="585"/>
        <v>41</v>
      </c>
      <c r="B44">
        <v>7.0338328748821439</v>
      </c>
    </row>
    <row r="45">
      <c r="A45" s="15">
        <f t="shared" si="585"/>
        <v>42</v>
      </c>
      <c r="B45">
        <v>7.2882995736784411</v>
      </c>
    </row>
    <row r="46">
      <c r="A46" s="15">
        <f t="shared" si="585"/>
        <v>43</v>
      </c>
      <c r="B46">
        <v>8.8866754056650521</v>
      </c>
    </row>
    <row r="47">
      <c r="A47" s="15">
        <f t="shared" si="585"/>
        <v>44</v>
      </c>
      <c r="B47">
        <v>7.4798200466140621</v>
      </c>
    </row>
    <row r="48">
      <c r="A48" s="15">
        <f t="shared" si="585"/>
        <v>45</v>
      </c>
      <c r="B48">
        <v>9.7657383666225144</v>
      </c>
    </row>
    <row r="49">
      <c r="A49" s="15">
        <f t="shared" si="585"/>
        <v>46</v>
      </c>
      <c r="B49">
        <v>7.9447003666965941</v>
      </c>
    </row>
    <row r="50">
      <c r="A50" s="15">
        <f t="shared" si="585"/>
        <v>47</v>
      </c>
      <c r="B50">
        <v>6.8290832554627521</v>
      </c>
    </row>
    <row r="51">
      <c r="A51" s="15">
        <f t="shared" si="585"/>
        <v>48</v>
      </c>
      <c r="B51">
        <v>7.9209790522165529</v>
      </c>
    </row>
    <row r="52">
      <c r="A52" s="15">
        <f t="shared" si="585"/>
        <v>49</v>
      </c>
      <c r="B52">
        <v>5.9511980566404041</v>
      </c>
    </row>
    <row r="53">
      <c r="A53" s="15">
        <f t="shared" si="585"/>
        <v>50</v>
      </c>
      <c r="B53">
        <v>7.2243633792411535</v>
      </c>
    </row>
    <row r="54">
      <c r="A54" s="15">
        <f t="shared" si="585"/>
        <v>51</v>
      </c>
      <c r="B54">
        <v>8.0384987230282139</v>
      </c>
    </row>
    <row r="55">
      <c r="A55" s="15">
        <f t="shared" si="585"/>
        <v>52</v>
      </c>
      <c r="B55">
        <v>7.739952927859763</v>
      </c>
    </row>
    <row r="56">
      <c r="A56" s="15">
        <f t="shared" si="585"/>
        <v>53</v>
      </c>
      <c r="B56">
        <v>8.9551761475345906</v>
      </c>
    </row>
    <row r="57">
      <c r="A57" s="15">
        <f t="shared" si="585"/>
        <v>54</v>
      </c>
      <c r="B57">
        <v>9.9066867108961674</v>
      </c>
    </row>
    <row r="58">
      <c r="A58" s="15">
        <f t="shared" si="585"/>
        <v>55</v>
      </c>
      <c r="B58">
        <v>10.166603810504748</v>
      </c>
    </row>
    <row r="59">
      <c r="A59" s="15">
        <f t="shared" si="585"/>
        <v>56</v>
      </c>
      <c r="B59">
        <v>9.1166011165912639</v>
      </c>
    </row>
    <row r="60">
      <c r="A60" s="15">
        <f t="shared" si="585"/>
        <v>57</v>
      </c>
      <c r="B60">
        <v>7.4985374040370063</v>
      </c>
    </row>
    <row r="61">
      <c r="A61" s="15">
        <f t="shared" si="585"/>
        <v>58</v>
      </c>
      <c r="B61">
        <v>6.6994539517640845</v>
      </c>
    </row>
    <row r="62">
      <c r="A62" s="15">
        <f t="shared" si="585"/>
        <v>59</v>
      </c>
      <c r="B62">
        <v>9.9889227287681415</v>
      </c>
    </row>
    <row r="63">
      <c r="A63" s="15">
        <f t="shared" si="585"/>
        <v>60</v>
      </c>
      <c r="B63">
        <v>8.567950641763117</v>
      </c>
    </row>
    <row r="64">
      <c r="A64" s="15">
        <f t="shared" si="585"/>
        <v>61</v>
      </c>
      <c r="B64">
        <v>11.140657012186477</v>
      </c>
    </row>
    <row r="65">
      <c r="A65" s="15">
        <f t="shared" si="585"/>
        <v>62</v>
      </c>
      <c r="B65">
        <v>10.861815846061663</v>
      </c>
    </row>
    <row r="66">
      <c r="A66" s="15">
        <f t="shared" si="585"/>
        <v>63</v>
      </c>
      <c r="B66">
        <v>6.9476293256076005</v>
      </c>
    </row>
    <row r="67">
      <c r="A67" s="15">
        <f t="shared" si="585"/>
        <v>64</v>
      </c>
      <c r="B67">
        <v>6.3808349518051442</v>
      </c>
    </row>
    <row r="68">
      <c r="A68" s="15">
        <f t="shared" si="585"/>
        <v>65</v>
      </c>
      <c r="B68">
        <v>9.072679344628952</v>
      </c>
    </row>
    <row r="69">
      <c r="A69" s="15">
        <f t="shared" si="585"/>
        <v>66</v>
      </c>
      <c r="B69">
        <v>6.832378383517816</v>
      </c>
    </row>
    <row r="70">
      <c r="A70" s="15">
        <f t="shared" si="585"/>
        <v>67</v>
      </c>
      <c r="B70">
        <v>7.3495811868046541</v>
      </c>
    </row>
    <row r="71">
      <c r="A71" s="15">
        <f t="shared" si="585"/>
        <v>68</v>
      </c>
      <c r="B71">
        <v>8.6635730768835639</v>
      </c>
    </row>
    <row r="72">
      <c r="A72" s="15">
        <f t="shared" si="585"/>
        <v>69</v>
      </c>
      <c r="B72">
        <v>8.619935216696673</v>
      </c>
    </row>
    <row r="73">
      <c r="A73" s="15">
        <f t="shared" si="585"/>
        <v>70</v>
      </c>
      <c r="B73">
        <v>9.0829349718133621</v>
      </c>
    </row>
    <row r="74">
      <c r="A74" s="15">
        <f t="shared" si="585"/>
        <v>71</v>
      </c>
      <c r="B74">
        <v>9.179659791776972</v>
      </c>
    </row>
    <row r="75">
      <c r="A75" s="15">
        <f t="shared" ref="A75:A100" si="586">A74+1</f>
        <v>72</v>
      </c>
      <c r="B75">
        <v>6.8485897003514351</v>
      </c>
    </row>
    <row r="76">
      <c r="A76" s="15">
        <f t="shared" si="586"/>
        <v>73</v>
      </c>
      <c r="B76">
        <v>7.7501860684193788</v>
      </c>
    </row>
    <row r="77">
      <c r="A77" s="15">
        <f t="shared" si="586"/>
        <v>74</v>
      </c>
      <c r="B77">
        <v>8.8331519655802566</v>
      </c>
    </row>
    <row r="78">
      <c r="A78" s="15">
        <f t="shared" si="586"/>
        <v>75</v>
      </c>
      <c r="B78">
        <v>9.3710954936637663</v>
      </c>
    </row>
    <row r="79">
      <c r="A79" s="15">
        <f t="shared" si="586"/>
        <v>76</v>
      </c>
      <c r="B79">
        <v>8.652834476388243</v>
      </c>
    </row>
    <row r="80">
      <c r="A80" s="15">
        <f t="shared" si="586"/>
        <v>77</v>
      </c>
      <c r="B80">
        <v>9.2564658868878329</v>
      </c>
    </row>
    <row r="81">
      <c r="A81" s="15">
        <f t="shared" si="586"/>
        <v>78</v>
      </c>
      <c r="B81">
        <v>9.6513968847440008</v>
      </c>
    </row>
    <row r="82">
      <c r="A82" s="15">
        <f t="shared" si="586"/>
        <v>79</v>
      </c>
      <c r="B82">
        <v>6.6513632585601243</v>
      </c>
    </row>
    <row r="83">
      <c r="A83" s="15">
        <f t="shared" si="586"/>
        <v>80</v>
      </c>
      <c r="B83">
        <v>8.2448300200235511</v>
      </c>
    </row>
    <row r="84">
      <c r="A84" s="15">
        <f t="shared" si="586"/>
        <v>81</v>
      </c>
      <c r="B84">
        <v>6.0413591421843176</v>
      </c>
    </row>
    <row r="85">
      <c r="A85" s="15">
        <f t="shared" si="586"/>
        <v>82</v>
      </c>
      <c r="B85">
        <v>7.6493627408184555</v>
      </c>
    </row>
    <row r="86">
      <c r="A86" s="15">
        <f t="shared" si="586"/>
        <v>83</v>
      </c>
      <c r="B86">
        <v>8.5549854316047824</v>
      </c>
    </row>
    <row r="87">
      <c r="A87" s="15">
        <f t="shared" si="586"/>
        <v>84</v>
      </c>
      <c r="B87">
        <v>9.3164955064472394</v>
      </c>
    </row>
    <row r="88">
      <c r="A88" s="15">
        <f t="shared" si="586"/>
        <v>85</v>
      </c>
      <c r="B88">
        <v>9.3880379589982077</v>
      </c>
    </row>
    <row r="89">
      <c r="A89" s="15">
        <f t="shared" si="586"/>
        <v>86</v>
      </c>
      <c r="B89">
        <v>8.8184147405082118</v>
      </c>
    </row>
    <row r="90">
      <c r="A90" s="15">
        <f t="shared" si="586"/>
        <v>87</v>
      </c>
      <c r="B90">
        <v>8.9099086736321791</v>
      </c>
    </row>
    <row r="91">
      <c r="A91" s="15">
        <f t="shared" si="586"/>
        <v>88</v>
      </c>
      <c r="B91">
        <v>8.4966509972542354</v>
      </c>
    </row>
    <row r="92">
      <c r="A92" s="15">
        <f t="shared" si="586"/>
        <v>89</v>
      </c>
      <c r="B92">
        <v>9.5957622880510751</v>
      </c>
    </row>
    <row r="93">
      <c r="A93" s="15">
        <f t="shared" si="586"/>
        <v>90</v>
      </c>
      <c r="B93">
        <v>9.4341042496587129</v>
      </c>
    </row>
    <row r="94">
      <c r="A94" s="15">
        <f t="shared" si="586"/>
        <v>91</v>
      </c>
      <c r="B94">
        <v>8.3549740311930485</v>
      </c>
    </row>
    <row r="95">
      <c r="A95" s="15">
        <f t="shared" si="586"/>
        <v>92</v>
      </c>
      <c r="B95">
        <v>8.8374866436708892</v>
      </c>
    </row>
    <row r="96">
      <c r="A96" s="15">
        <f t="shared" si="586"/>
        <v>93</v>
      </c>
      <c r="B96">
        <v>7.8030050801946249</v>
      </c>
    </row>
    <row r="97">
      <c r="A97" s="15">
        <f t="shared" si="586"/>
        <v>94</v>
      </c>
      <c r="B97">
        <v>6.432132626966296</v>
      </c>
    </row>
    <row r="98">
      <c r="A98" s="15">
        <f t="shared" si="586"/>
        <v>95</v>
      </c>
      <c r="B98">
        <v>8.2070381831134771</v>
      </c>
    </row>
    <row r="99">
      <c r="A99" s="15">
        <f t="shared" si="586"/>
        <v>96</v>
      </c>
      <c r="B99">
        <v>6.8935011528724619</v>
      </c>
    </row>
    <row r="100">
      <c r="A100" s="15">
        <f t="shared" si="586"/>
        <v>97</v>
      </c>
      <c r="B100">
        <v>6.5813576553819226</v>
      </c>
    </row>
    <row r="101">
      <c r="A101" s="15">
        <f t="shared" ref="A101:A103" si="587">A100+1</f>
        <v>98</v>
      </c>
      <c r="B101">
        <v>6.7231135510172315</v>
      </c>
    </row>
    <row r="102">
      <c r="A102" s="15">
        <f t="shared" si="587"/>
        <v>99</v>
      </c>
      <c r="B102">
        <v>5.6031024496579178</v>
      </c>
    </row>
    <row r="103">
      <c r="A103" s="15">
        <f t="shared" si="587"/>
        <v>100</v>
      </c>
      <c r="B103" s="14">
        <v>8.2498435205593736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4" max="4" width="5"/>
    <col customWidth="1" min="26" max="27" width="10.178571"/>
  </cols>
  <sheetData>
    <row r="1">
      <c r="A1" s="52" t="s">
        <v>458</v>
      </c>
    </row>
    <row r="3">
      <c r="B3" s="4" t="s">
        <v>342</v>
      </c>
      <c r="C3" s="4" t="s">
        <v>343</v>
      </c>
      <c r="E3" s="4" t="s">
        <v>291</v>
      </c>
      <c r="F3" s="4" t="s">
        <v>292</v>
      </c>
      <c r="G3" s="4" t="s">
        <v>432</v>
      </c>
      <c r="Y3" s="4" t="s">
        <v>291</v>
      </c>
      <c r="Z3" s="4" t="s">
        <v>328</v>
      </c>
      <c r="AA3" s="4" t="s">
        <v>438</v>
      </c>
    </row>
    <row r="4">
      <c r="A4" s="15">
        <v>1</v>
      </c>
      <c r="B4">
        <v>-0.47324253014025192</v>
      </c>
      <c r="C4">
        <f>5+0.4*0-0.1*0+B4</f>
        <v>4.5267574698597501</v>
      </c>
      <c r="E4" s="15"/>
      <c r="Y4" s="15"/>
    </row>
    <row r="5">
      <c r="A5" s="15">
        <f t="shared" ref="A5:A10" si="588">A4+1</f>
        <v>2</v>
      </c>
      <c r="B5">
        <v>8.2667789568597605e-02</v>
      </c>
      <c r="C5">
        <f>5+0.4*C4-0.1*0+B5</f>
        <v>6.8933707775124997</v>
      </c>
      <c r="E5" s="15"/>
      <c r="Y5" s="15"/>
    </row>
    <row r="6">
      <c r="A6" s="15">
        <f t="shared" si="588"/>
        <v>3</v>
      </c>
      <c r="B6">
        <v>1.1207225535485554</v>
      </c>
      <c r="C6">
        <f t="shared" ref="C6:C9" si="589">5+0.4*C5-0.1*C4+B6</f>
        <v>8.4253951175675894</v>
      </c>
      <c r="E6" s="15">
        <v>1</v>
      </c>
      <c r="F6" s="5" t="e">
        <v>#NAME?</v>
      </c>
      <c r="G6" s="6">
        <f t="shared" ref="G6:G9" si="590">0.4^E6</f>
        <v>0.40000000000000002</v>
      </c>
      <c r="Y6" s="15">
        <v>1</v>
      </c>
      <c r="Z6" s="5" t="e">
        <v>#NAME?</v>
      </c>
      <c r="AA6" s="6">
        <f t="shared" ref="AA6:AA7" si="591">M22</f>
        <v>0.40000000000000002</v>
      </c>
    </row>
    <row r="7">
      <c r="A7" s="15">
        <f t="shared" si="588"/>
        <v>4</v>
      </c>
      <c r="B7">
        <v>-0.68131888228678594</v>
      </c>
      <c r="C7">
        <f t="shared" si="589"/>
        <v>6.9995020869890103</v>
      </c>
      <c r="E7" s="15">
        <f t="shared" ref="E7:E10" si="592">E6+1</f>
        <v>2</v>
      </c>
      <c r="F7" s="8" t="e">
        <v>#NAME?</v>
      </c>
      <c r="G7" s="9">
        <f t="shared" si="590"/>
        <v>0.16</v>
      </c>
      <c r="Y7" s="15">
        <f t="shared" ref="Y7:Y10" si="593">Y6+1</f>
        <v>2</v>
      </c>
      <c r="Z7" s="8" t="e">
        <v>#NAME?</v>
      </c>
      <c r="AA7" s="9">
        <f t="shared" si="591"/>
        <v>-0.10000000000000001</v>
      </c>
    </row>
    <row r="8">
      <c r="A8" s="15">
        <f t="shared" si="588"/>
        <v>5</v>
      </c>
      <c r="B8">
        <v>-0.7696671614087579</v>
      </c>
      <c r="C8">
        <f t="shared" si="589"/>
        <v>6.1875941616300798</v>
      </c>
      <c r="E8" s="15">
        <f t="shared" si="592"/>
        <v>3</v>
      </c>
      <c r="F8" s="8" t="e">
        <v>#NAME?</v>
      </c>
      <c r="G8" s="9">
        <f t="shared" si="590"/>
        <v>6.4000000000000001e-02</v>
      </c>
      <c r="Y8" s="15">
        <f t="shared" si="593"/>
        <v>3</v>
      </c>
      <c r="Z8" s="8" t="e">
        <v>#NAME?</v>
      </c>
      <c r="AA8" s="9">
        <v>0</v>
      </c>
    </row>
    <row r="9">
      <c r="A9" s="15">
        <f t="shared" si="588"/>
        <v>6</v>
      </c>
      <c r="B9">
        <v>-0.96211098507331005</v>
      </c>
      <c r="C9">
        <f t="shared" si="589"/>
        <v>5.8129764708798204</v>
      </c>
      <c r="E9" s="15">
        <f t="shared" si="592"/>
        <v>4</v>
      </c>
      <c r="F9" s="8" t="e">
        <v>#NAME?</v>
      </c>
      <c r="G9" s="9">
        <f t="shared" si="590"/>
        <v>2.5600000000000001e-02</v>
      </c>
      <c r="Y9" s="15">
        <f t="shared" si="593"/>
        <v>4</v>
      </c>
      <c r="Z9" s="8" t="e">
        <v>#NAME?</v>
      </c>
      <c r="AA9" s="9">
        <v>0</v>
      </c>
    </row>
    <row r="10">
      <c r="A10" s="15">
        <f t="shared" si="588"/>
        <v>7</v>
      </c>
      <c r="B10">
        <v>0.41364151532991678</v>
      </c>
      <c r="C10">
        <f>5+0.4*C9-0.1*C8+B10</f>
        <v>7.1200726875188396</v>
      </c>
      <c r="E10" s="15">
        <f t="shared" si="592"/>
        <v>5</v>
      </c>
      <c r="F10" s="8" t="e">
        <v>#NAME?</v>
      </c>
      <c r="G10" s="9">
        <f t="shared" ref="G10:G20" si="594">0.4^E10</f>
        <v>1.0240000000000001e-02</v>
      </c>
      <c r="Y10" s="15">
        <f t="shared" si="593"/>
        <v>5</v>
      </c>
      <c r="Z10" s="8" t="e">
        <v>#NAME?</v>
      </c>
      <c r="AA10" s="9">
        <v>0</v>
      </c>
    </row>
    <row r="11">
      <c r="A11" s="15">
        <f t="shared" ref="A11:A74" si="595">A10+1</f>
        <v>8</v>
      </c>
      <c r="B11">
        <v>1.2351835053545517</v>
      </c>
      <c r="C11">
        <f>5+0.4*C10-0.1*C9+B11</f>
        <v>8.5019149332741097</v>
      </c>
      <c r="E11" s="15">
        <f t="shared" ref="E11:E20" si="596">E10+1</f>
        <v>6</v>
      </c>
      <c r="F11" s="8" t="e">
        <v>#NAME?</v>
      </c>
      <c r="G11" s="9">
        <f t="shared" si="594"/>
        <v>4.0959999999999998e-03</v>
      </c>
      <c r="Y11" s="15">
        <f t="shared" ref="Y11:Y20" si="597">Y10+1</f>
        <v>6</v>
      </c>
      <c r="Z11" s="8" t="e">
        <v>#NAME?</v>
      </c>
      <c r="AA11" s="9">
        <v>0</v>
      </c>
    </row>
    <row r="12">
      <c r="A12" s="15">
        <f t="shared" si="595"/>
        <v>9</v>
      </c>
      <c r="B12">
        <v>-0.38753659937569779</v>
      </c>
      <c r="C12">
        <f t="shared" ref="C12:C75" si="598">5+0.4*C11-0.1*C10+B12</f>
        <v>7.3012221051820596</v>
      </c>
      <c r="E12" s="15">
        <f t="shared" si="596"/>
        <v>7</v>
      </c>
      <c r="F12" s="8" t="e">
        <v>#NAME?</v>
      </c>
      <c r="G12" s="9">
        <f t="shared" si="594"/>
        <v>1.6383999999999999e-03</v>
      </c>
      <c r="Y12" s="15">
        <f t="shared" si="597"/>
        <v>7</v>
      </c>
      <c r="Z12" s="8" t="e">
        <v>#NAME?</v>
      </c>
      <c r="AA12" s="9">
        <v>0</v>
      </c>
    </row>
    <row r="13">
      <c r="A13" s="15">
        <f t="shared" si="595"/>
        <v>10</v>
      </c>
      <c r="B13">
        <v>-1.0314205193621426</v>
      </c>
      <c r="C13">
        <f t="shared" si="598"/>
        <v>6.0388768293832698</v>
      </c>
      <c r="E13" s="15">
        <f t="shared" si="596"/>
        <v>8</v>
      </c>
      <c r="F13" s="8" t="e">
        <v>#NAME?</v>
      </c>
      <c r="G13" s="9">
        <f t="shared" si="594"/>
        <v>6.5535999999999991e-04</v>
      </c>
      <c r="Y13" s="15">
        <f t="shared" si="597"/>
        <v>8</v>
      </c>
      <c r="Z13" s="8" t="e">
        <v>#NAME?</v>
      </c>
      <c r="AA13" s="9">
        <v>0</v>
      </c>
    </row>
    <row r="14">
      <c r="A14" s="15">
        <f t="shared" si="595"/>
        <v>11</v>
      </c>
      <c r="B14">
        <v>-1.9393388320973126</v>
      </c>
      <c r="C14">
        <f t="shared" si="598"/>
        <v>4.7460896891377899</v>
      </c>
      <c r="E14" s="15">
        <f t="shared" si="596"/>
        <v>9</v>
      </c>
      <c r="F14" s="8" t="e">
        <v>#NAME?</v>
      </c>
      <c r="G14" s="9">
        <f t="shared" si="594"/>
        <v>2.6214399999999996e-04</v>
      </c>
      <c r="Y14" s="15">
        <f t="shared" si="597"/>
        <v>9</v>
      </c>
      <c r="Z14" s="8" t="e">
        <v>#NAME?</v>
      </c>
      <c r="AA14" s="9">
        <v>0</v>
      </c>
    </row>
    <row r="15">
      <c r="A15" s="15">
        <f t="shared" si="595"/>
        <v>12</v>
      </c>
      <c r="B15">
        <v>0.35912852564205311</v>
      </c>
      <c r="C15">
        <f t="shared" si="598"/>
        <v>6.6536767183588399</v>
      </c>
      <c r="E15" s="15">
        <f t="shared" si="596"/>
        <v>10</v>
      </c>
      <c r="F15" s="8" t="e">
        <v>#NAME?</v>
      </c>
      <c r="G15" s="9">
        <f t="shared" si="594"/>
        <v>1.0485759999999999e-04</v>
      </c>
      <c r="Y15" s="15">
        <f t="shared" si="597"/>
        <v>10</v>
      </c>
      <c r="Z15" s="8" t="e">
        <v>#NAME?</v>
      </c>
      <c r="AA15" s="9">
        <v>0</v>
      </c>
    </row>
    <row r="16">
      <c r="A16" s="15">
        <f t="shared" si="595"/>
        <v>13</v>
      </c>
      <c r="B16">
        <v>1.0071142010572025</v>
      </c>
      <c r="C16">
        <f t="shared" si="598"/>
        <v>8.1939759194869595</v>
      </c>
      <c r="E16" s="15">
        <f t="shared" si="596"/>
        <v>11</v>
      </c>
      <c r="F16" s="8" t="e">
        <v>#NAME?</v>
      </c>
      <c r="G16" s="9">
        <f t="shared" si="594"/>
        <v>4.1943039999999991e-05</v>
      </c>
      <c r="Y16" s="15">
        <f t="shared" si="597"/>
        <v>11</v>
      </c>
      <c r="Z16" s="8" t="e">
        <v>#NAME?</v>
      </c>
      <c r="AA16" s="9">
        <v>0</v>
      </c>
    </row>
    <row r="17">
      <c r="A17" s="15">
        <f t="shared" si="595"/>
        <v>14</v>
      </c>
      <c r="B17">
        <v>-5.1959162489554032e-02</v>
      </c>
      <c r="C17">
        <f t="shared" si="598"/>
        <v>7.5602635334693504</v>
      </c>
      <c r="E17" s="15">
        <f t="shared" si="596"/>
        <v>12</v>
      </c>
      <c r="F17" s="8" t="e">
        <v>#NAME?</v>
      </c>
      <c r="G17" s="9">
        <f t="shared" si="594"/>
        <v>1.6777215999999996e-05</v>
      </c>
      <c r="Y17" s="15">
        <f t="shared" si="597"/>
        <v>12</v>
      </c>
      <c r="Z17" s="8" t="e">
        <v>#NAME?</v>
      </c>
      <c r="AA17" s="9">
        <v>0</v>
      </c>
    </row>
    <row r="18">
      <c r="A18" s="15">
        <f t="shared" si="595"/>
        <v>15</v>
      </c>
      <c r="B18">
        <v>-0.41025652430283605</v>
      </c>
      <c r="C18">
        <f t="shared" si="598"/>
        <v>6.7944512971362103</v>
      </c>
      <c r="E18" s="15">
        <f t="shared" si="596"/>
        <v>13</v>
      </c>
      <c r="F18" s="8" t="e">
        <v>#NAME?</v>
      </c>
      <c r="G18" s="9">
        <f t="shared" si="594"/>
        <v>6.7108864000000036e-06</v>
      </c>
      <c r="Y18" s="15">
        <f t="shared" si="597"/>
        <v>13</v>
      </c>
      <c r="Z18" s="8" t="e">
        <v>#NAME?</v>
      </c>
      <c r="AA18" s="9">
        <v>0</v>
      </c>
    </row>
    <row r="19">
      <c r="A19" s="15">
        <f t="shared" si="595"/>
        <v>16</v>
      </c>
      <c r="B19">
        <v>-2.2372876303491598</v>
      </c>
      <c r="C19">
        <f t="shared" si="598"/>
        <v>4.7244665351583901</v>
      </c>
      <c r="E19" s="15">
        <f t="shared" si="596"/>
        <v>14</v>
      </c>
      <c r="F19" s="8" t="e">
        <v>#NAME?</v>
      </c>
      <c r="G19" s="9">
        <f t="shared" si="594"/>
        <v>2.6843545600000021e-06</v>
      </c>
      <c r="Y19" s="15">
        <f t="shared" si="597"/>
        <v>14</v>
      </c>
      <c r="Z19" s="8" t="e">
        <v>#NAME?</v>
      </c>
      <c r="AA19" s="9">
        <v>0</v>
      </c>
    </row>
    <row r="20">
      <c r="A20" s="15">
        <f t="shared" si="595"/>
        <v>17</v>
      </c>
      <c r="B20">
        <v>-0.18318635781115453</v>
      </c>
      <c r="C20">
        <f t="shared" si="598"/>
        <v>6.0271551265385899</v>
      </c>
      <c r="E20" s="15">
        <f t="shared" si="596"/>
        <v>15</v>
      </c>
      <c r="F20" s="11" t="e">
        <v>#NAME?</v>
      </c>
      <c r="G20" s="12">
        <f t="shared" si="594"/>
        <v>1.0737418240000009e-06</v>
      </c>
      <c r="Y20" s="15">
        <f t="shared" si="597"/>
        <v>15</v>
      </c>
      <c r="Z20" s="11" t="e">
        <v>#NAME?</v>
      </c>
      <c r="AA20" s="12">
        <v>0</v>
      </c>
    </row>
    <row r="21">
      <c r="A21" s="15">
        <f t="shared" si="595"/>
        <v>18</v>
      </c>
      <c r="B21">
        <v>0.18749462876249157</v>
      </c>
      <c r="C21">
        <f t="shared" si="598"/>
        <v>7.1259100258620904</v>
      </c>
      <c r="E21" s="15"/>
      <c r="L21" t="s">
        <v>448</v>
      </c>
      <c r="M21" s="7">
        <v>5</v>
      </c>
    </row>
    <row r="22">
      <c r="A22" s="15">
        <f t="shared" si="595"/>
        <v>19</v>
      </c>
      <c r="B22">
        <v>-5.6400668198823042e-02</v>
      </c>
      <c r="C22">
        <f t="shared" si="598"/>
        <v>7.19124782949216</v>
      </c>
      <c r="E22" s="15" t="s">
        <v>433</v>
      </c>
      <c r="F22" s="7">
        <f>M21/(1-M22-M23)</f>
        <v>7.1428571428571397</v>
      </c>
      <c r="H22" s="15" t="s">
        <v>434</v>
      </c>
      <c r="I22" s="7">
        <f>AVERAGE(C4:C103)</f>
        <v>7.08398338137268</v>
      </c>
      <c r="L22" t="s">
        <v>449</v>
      </c>
      <c r="M22" s="10">
        <v>0.40000000000000002</v>
      </c>
    </row>
    <row r="23" ht="15" customHeight="1">
      <c r="A23" s="15">
        <f t="shared" si="595"/>
        <v>20</v>
      </c>
      <c r="B23">
        <v>-0.48121649086566337</v>
      </c>
      <c r="C23">
        <f t="shared" si="598"/>
        <v>6.6826916383449904</v>
      </c>
      <c r="E23" s="15" t="s">
        <v>435</v>
      </c>
      <c r="F23" s="13">
        <f>(1-M23)/(1+M23)*M24/((1-M23)^2-M22^2)</f>
        <v>1.16402116402116</v>
      </c>
      <c r="H23" s="15" t="s">
        <v>436</v>
      </c>
      <c r="I23" s="13">
        <f>VAR(C4:C103)</f>
        <v>1.26885274941296</v>
      </c>
      <c r="L23" t="s">
        <v>459</v>
      </c>
      <c r="M23" s="10">
        <v>-0.10000000000000001</v>
      </c>
    </row>
    <row r="24" ht="15" customHeight="1">
      <c r="A24" s="15">
        <f t="shared" si="595"/>
        <v>21</v>
      </c>
      <c r="B24">
        <v>-0.38179474938688318</v>
      </c>
      <c r="C24">
        <f t="shared" si="598"/>
        <v>6.5721571230019</v>
      </c>
      <c r="L24" s="54" t="s">
        <v>457</v>
      </c>
      <c r="M24" s="13">
        <v>1</v>
      </c>
    </row>
    <row r="25">
      <c r="A25" s="15">
        <f t="shared" si="595"/>
        <v>22</v>
      </c>
      <c r="B25">
        <v>-0.20785477186378326</v>
      </c>
      <c r="C25">
        <f t="shared" si="598"/>
        <v>6.7527389135024798</v>
      </c>
      <c r="E25" s="15"/>
    </row>
    <row r="26">
      <c r="A26" s="15">
        <f t="shared" si="595"/>
        <v>23</v>
      </c>
      <c r="B26">
        <v>-1.3964797995563232</v>
      </c>
      <c r="C26">
        <f t="shared" si="598"/>
        <v>5.6474000535444802</v>
      </c>
      <c r="E26" s="15"/>
    </row>
    <row r="27">
      <c r="A27" s="15">
        <f t="shared" si="595"/>
        <v>24</v>
      </c>
      <c r="B27">
        <v>-0.10631712587124005</v>
      </c>
      <c r="C27">
        <f t="shared" si="598"/>
        <v>6.4773690041962997</v>
      </c>
      <c r="E27" s="15"/>
    </row>
    <row r="28">
      <c r="A28" s="15">
        <f t="shared" si="595"/>
        <v>25</v>
      </c>
      <c r="B28">
        <v>0.26416614209328254</v>
      </c>
      <c r="C28">
        <f t="shared" si="598"/>
        <v>7.2903737384173501</v>
      </c>
      <c r="E28" s="15"/>
    </row>
    <row r="29">
      <c r="A29" s="15">
        <f t="shared" si="595"/>
        <v>26</v>
      </c>
      <c r="B29">
        <v>0.56209410321803166</v>
      </c>
      <c r="C29">
        <f t="shared" si="598"/>
        <v>7.8305066981653404</v>
      </c>
      <c r="E29" s="15"/>
    </row>
    <row r="30">
      <c r="A30" s="15">
        <f t="shared" si="595"/>
        <v>27</v>
      </c>
      <c r="B30">
        <v>0.34951765278906405</v>
      </c>
      <c r="C30">
        <f t="shared" si="598"/>
        <v>7.7526829582134704</v>
      </c>
      <c r="E30" s="15"/>
    </row>
    <row r="31">
      <c r="A31" s="15">
        <f t="shared" si="595"/>
        <v>28</v>
      </c>
      <c r="B31">
        <v>-1.4196432813369184</v>
      </c>
      <c r="C31">
        <f t="shared" si="598"/>
        <v>5.8983792321319397</v>
      </c>
      <c r="E31" s="15"/>
    </row>
    <row r="32">
      <c r="A32" s="15">
        <f t="shared" si="595"/>
        <v>29</v>
      </c>
      <c r="B32">
        <v>0.41292682554218701</v>
      </c>
      <c r="C32">
        <f t="shared" si="598"/>
        <v>6.9970102225736204</v>
      </c>
      <c r="E32" s="15"/>
    </row>
    <row r="33">
      <c r="A33" s="15">
        <f t="shared" si="595"/>
        <v>30</v>
      </c>
      <c r="B33">
        <v>0.35807000330701766</v>
      </c>
      <c r="C33">
        <f t="shared" si="598"/>
        <v>7.5670361691232797</v>
      </c>
      <c r="E33" s="15"/>
    </row>
    <row r="34">
      <c r="A34" s="15">
        <f t="shared" si="595"/>
        <v>31</v>
      </c>
      <c r="B34">
        <v>-1.3945310478710271</v>
      </c>
      <c r="C34">
        <f t="shared" si="598"/>
        <v>5.9325823975209202</v>
      </c>
      <c r="E34" s="15"/>
    </row>
    <row r="35">
      <c r="A35" s="15">
        <f t="shared" si="595"/>
        <v>32</v>
      </c>
      <c r="B35">
        <v>-0.3446553575860089</v>
      </c>
      <c r="C35">
        <f t="shared" si="598"/>
        <v>6.2716739845100298</v>
      </c>
      <c r="E35" s="15"/>
    </row>
    <row r="36">
      <c r="A36" s="15">
        <f t="shared" si="595"/>
        <v>33</v>
      </c>
      <c r="B36">
        <v>0.6773260419350895</v>
      </c>
      <c r="C36">
        <f t="shared" si="598"/>
        <v>7.5927373959870099</v>
      </c>
      <c r="E36" s="15"/>
    </row>
    <row r="37">
      <c r="A37" s="15">
        <f t="shared" si="595"/>
        <v>34</v>
      </c>
      <c r="B37">
        <v>-0.33272164613616745</v>
      </c>
      <c r="C37">
        <f t="shared" si="598"/>
        <v>7.0772059138076298</v>
      </c>
      <c r="E37" s="15"/>
    </row>
    <row r="38">
      <c r="A38" s="15">
        <f t="shared" si="595"/>
        <v>35</v>
      </c>
      <c r="B38">
        <v>0.16193253442993721</v>
      </c>
      <c r="C38">
        <f t="shared" si="598"/>
        <v>7.2335411603542896</v>
      </c>
      <c r="E38" s="15"/>
    </row>
    <row r="39">
      <c r="A39" s="15">
        <f t="shared" si="595"/>
        <v>36</v>
      </c>
      <c r="B39">
        <v>2.0958988923338446</v>
      </c>
      <c r="C39">
        <f t="shared" si="598"/>
        <v>9.2815947650948107</v>
      </c>
      <c r="E39" s="15"/>
    </row>
    <row r="40">
      <c r="A40" s="15">
        <f t="shared" si="595"/>
        <v>37</v>
      </c>
      <c r="B40">
        <v>0.13687130286193497</v>
      </c>
      <c r="C40">
        <f t="shared" si="598"/>
        <v>8.1261550928644404</v>
      </c>
      <c r="E40" s="15"/>
    </row>
    <row r="41">
      <c r="A41" s="15">
        <f t="shared" si="595"/>
        <v>38</v>
      </c>
      <c r="B41">
        <v>0.15164038123128817</v>
      </c>
      <c r="C41">
        <f t="shared" si="598"/>
        <v>7.4739429418675902</v>
      </c>
      <c r="E41" s="15"/>
    </row>
    <row r="42">
      <c r="A42" s="15">
        <f t="shared" si="595"/>
        <v>39</v>
      </c>
      <c r="B42">
        <v>-1.3286774610778544</v>
      </c>
      <c r="C42">
        <f t="shared" si="598"/>
        <v>5.8482842063827496</v>
      </c>
      <c r="E42" s="15"/>
    </row>
    <row r="43">
      <c r="A43" s="15">
        <f t="shared" si="595"/>
        <v>40</v>
      </c>
      <c r="B43">
        <v>-1.6831783661549446</v>
      </c>
      <c r="C43">
        <f t="shared" si="598"/>
        <v>4.9087410222113999</v>
      </c>
      <c r="E43" s="15"/>
    </row>
    <row r="44">
      <c r="A44" s="15">
        <f t="shared" si="595"/>
        <v>41</v>
      </c>
      <c r="B44">
        <v>2.1773330001221294</v>
      </c>
      <c r="C44">
        <f t="shared" si="598"/>
        <v>8.5560009883684192</v>
      </c>
      <c r="E44" s="15"/>
    </row>
    <row r="45">
      <c r="A45" s="15">
        <f t="shared" si="595"/>
        <v>42</v>
      </c>
      <c r="B45">
        <v>0.84300462021271172</v>
      </c>
      <c r="C45">
        <f t="shared" si="598"/>
        <v>8.7745309133389409</v>
      </c>
      <c r="E45" s="15"/>
    </row>
    <row r="46">
      <c r="A46" s="15">
        <f t="shared" si="595"/>
        <v>43</v>
      </c>
      <c r="B46">
        <v>-0.11653470961109491</v>
      </c>
      <c r="C46">
        <f t="shared" si="598"/>
        <v>7.5376775568876502</v>
      </c>
      <c r="E46" s="15"/>
    </row>
    <row r="47">
      <c r="A47" s="15">
        <f t="shared" si="595"/>
        <v>44</v>
      </c>
      <c r="B47">
        <v>1.1335178378349215</v>
      </c>
      <c r="C47">
        <f t="shared" si="598"/>
        <v>8.2711357692560892</v>
      </c>
      <c r="E47" s="15"/>
    </row>
    <row r="48">
      <c r="A48" s="15">
        <f t="shared" si="595"/>
        <v>45</v>
      </c>
      <c r="B48">
        <v>2.0614058880224517</v>
      </c>
      <c r="C48">
        <f t="shared" si="598"/>
        <v>9.6160924400361303</v>
      </c>
      <c r="E48" s="15"/>
    </row>
    <row r="49">
      <c r="A49" s="15">
        <f t="shared" si="595"/>
        <v>46</v>
      </c>
      <c r="B49">
        <v>1.1006258259814818</v>
      </c>
      <c r="C49">
        <f t="shared" si="598"/>
        <v>9.1199492250703198</v>
      </c>
      <c r="E49" s="15"/>
    </row>
    <row r="50">
      <c r="A50" s="15">
        <f t="shared" si="595"/>
        <v>47</v>
      </c>
      <c r="B50">
        <v>-0.11243048824424991</v>
      </c>
      <c r="C50">
        <f t="shared" si="598"/>
        <v>7.5739399577802704</v>
      </c>
      <c r="E50" s="15"/>
    </row>
    <row r="51">
      <c r="A51" s="15">
        <f t="shared" si="595"/>
        <v>48</v>
      </c>
      <c r="B51">
        <v>0.89967999134606913</v>
      </c>
      <c r="C51">
        <f t="shared" si="598"/>
        <v>8.0172610519511505</v>
      </c>
      <c r="E51" s="15"/>
    </row>
    <row r="52">
      <c r="A52" s="15">
        <f t="shared" si="595"/>
        <v>49</v>
      </c>
      <c r="B52">
        <v>-0.73154188371208884</v>
      </c>
      <c r="C52">
        <f t="shared" si="598"/>
        <v>6.7179685412903396</v>
      </c>
      <c r="E52" s="15"/>
    </row>
    <row r="53">
      <c r="A53" s="15">
        <f t="shared" si="595"/>
        <v>50</v>
      </c>
      <c r="B53">
        <v>0.74598633697981309</v>
      </c>
      <c r="C53">
        <f t="shared" si="598"/>
        <v>7.6314476483008402</v>
      </c>
      <c r="E53" s="15"/>
    </row>
    <row r="54">
      <c r="A54" s="15">
        <f t="shared" si="595"/>
        <v>51</v>
      </c>
      <c r="B54">
        <v>-0.42642490989986637</v>
      </c>
      <c r="C54">
        <f t="shared" si="598"/>
        <v>6.9543572952914499</v>
      </c>
      <c r="E54" s="15"/>
    </row>
    <row r="55">
      <c r="A55" s="15">
        <f t="shared" si="595"/>
        <v>52</v>
      </c>
      <c r="B55">
        <v>-0.41011257152708913</v>
      </c>
      <c r="C55">
        <f t="shared" si="598"/>
        <v>6.6084855817594104</v>
      </c>
      <c r="E55" s="15"/>
    </row>
    <row r="56">
      <c r="A56" s="15">
        <f t="shared" si="595"/>
        <v>53</v>
      </c>
      <c r="B56">
        <v>-0.49783542260902636</v>
      </c>
      <c r="C56">
        <f t="shared" si="598"/>
        <v>6.4501230805655903</v>
      </c>
      <c r="E56" s="15"/>
    </row>
    <row r="57">
      <c r="A57" s="15">
        <f t="shared" si="595"/>
        <v>54</v>
      </c>
      <c r="B57">
        <v>0.76871122871467412</v>
      </c>
      <c r="C57">
        <f t="shared" si="598"/>
        <v>7.6879119027649701</v>
      </c>
      <c r="E57" s="15"/>
    </row>
    <row r="58">
      <c r="A58" s="15">
        <f t="shared" si="595"/>
        <v>55</v>
      </c>
      <c r="B58">
        <v>-1.6365342070552806</v>
      </c>
      <c r="C58">
        <f t="shared" si="598"/>
        <v>5.7936182459941499</v>
      </c>
      <c r="E58" s="15"/>
    </row>
    <row r="59">
      <c r="A59" s="15">
        <f t="shared" si="595"/>
        <v>56</v>
      </c>
      <c r="B59">
        <v>1.1312536481777808e-02</v>
      </c>
      <c r="C59">
        <f t="shared" si="598"/>
        <v>6.5599686446029404</v>
      </c>
      <c r="E59" s="15"/>
    </row>
    <row r="60">
      <c r="A60" s="15">
        <f t="shared" si="595"/>
        <v>57</v>
      </c>
      <c r="B60">
        <v>1.0056243592004324</v>
      </c>
      <c r="C60">
        <f t="shared" si="598"/>
        <v>8.0502499924422004</v>
      </c>
      <c r="E60" s="15"/>
    </row>
    <row r="61">
      <c r="A61" s="15">
        <f t="shared" si="595"/>
        <v>58</v>
      </c>
      <c r="B61">
        <v>-1.4480389039930932</v>
      </c>
      <c r="C61">
        <f t="shared" si="598"/>
        <v>6.1160642285235003</v>
      </c>
      <c r="E61" s="15"/>
    </row>
    <row r="62">
      <c r="A62" s="15">
        <f t="shared" si="595"/>
        <v>59</v>
      </c>
      <c r="B62">
        <v>7.1484695132023712e-02</v>
      </c>
      <c r="C62">
        <f t="shared" si="598"/>
        <v>6.7128853872971996</v>
      </c>
      <c r="E62" s="15"/>
    </row>
    <row r="63">
      <c r="A63" s="15">
        <f t="shared" si="595"/>
        <v>60</v>
      </c>
      <c r="B63">
        <v>-0.10077857436046947</v>
      </c>
      <c r="C63">
        <f t="shared" si="598"/>
        <v>6.9727691577060602</v>
      </c>
      <c r="E63" s="15"/>
    </row>
    <row r="64">
      <c r="A64" s="15">
        <f t="shared" si="595"/>
        <v>61</v>
      </c>
      <c r="B64">
        <v>-1.725637170375401</v>
      </c>
      <c r="C64">
        <f t="shared" si="598"/>
        <v>5.3921819539772997</v>
      </c>
      <c r="E64" s="15"/>
    </row>
    <row r="65">
      <c r="A65" s="15">
        <f t="shared" si="595"/>
        <v>62</v>
      </c>
      <c r="B65">
        <v>-1.179892282500298</v>
      </c>
      <c r="C65">
        <f t="shared" si="598"/>
        <v>5.2797035833200097</v>
      </c>
      <c r="E65" s="15"/>
    </row>
    <row r="66">
      <c r="A66" s="15">
        <f t="shared" si="595"/>
        <v>63</v>
      </c>
      <c r="B66">
        <v>0.89714189254889531</v>
      </c>
      <c r="C66">
        <f t="shared" si="598"/>
        <v>7.4698051304791697</v>
      </c>
      <c r="E66" s="15"/>
    </row>
    <row r="67">
      <c r="A67" s="15">
        <f t="shared" si="595"/>
        <v>64</v>
      </c>
      <c r="B67">
        <v>-2.1053252206398696</v>
      </c>
      <c r="C67">
        <f t="shared" si="598"/>
        <v>5.3546264732197999</v>
      </c>
      <c r="E67" s="15"/>
    </row>
    <row r="68">
      <c r="A68" s="15">
        <f t="shared" si="595"/>
        <v>65</v>
      </c>
      <c r="B68">
        <v>0.99139292864806661</v>
      </c>
      <c r="C68">
        <f t="shared" si="598"/>
        <v>7.38626300488807</v>
      </c>
      <c r="E68" s="15"/>
    </row>
    <row r="69">
      <c r="A69" s="15">
        <f t="shared" si="595"/>
        <v>66</v>
      </c>
      <c r="B69">
        <v>1.4979503123490685</v>
      </c>
      <c r="C69">
        <f t="shared" si="598"/>
        <v>8.9169928669823193</v>
      </c>
      <c r="E69" s="15"/>
    </row>
    <row r="70">
      <c r="A70" s="15">
        <f t="shared" si="595"/>
        <v>67</v>
      </c>
      <c r="B70">
        <v>0.20183810054931067</v>
      </c>
      <c r="C70">
        <f t="shared" si="598"/>
        <v>8.0300089468534299</v>
      </c>
      <c r="E70" s="15"/>
    </row>
    <row r="71">
      <c r="A71" s="15">
        <f t="shared" si="595"/>
        <v>68</v>
      </c>
      <c r="B71">
        <v>0.89484002117632522</v>
      </c>
      <c r="C71">
        <f t="shared" si="598"/>
        <v>8.2151443132194704</v>
      </c>
      <c r="E71" s="15"/>
    </row>
    <row r="72">
      <c r="A72" s="15">
        <f t="shared" si="595"/>
        <v>69</v>
      </c>
      <c r="B72">
        <v>-1.0009082850046127</v>
      </c>
      <c r="C72">
        <f t="shared" si="598"/>
        <v>6.4821485455978403</v>
      </c>
      <c r="E72" s="15"/>
    </row>
    <row r="73">
      <c r="A73" s="15">
        <f t="shared" si="595"/>
        <v>70</v>
      </c>
      <c r="B73">
        <v>1.8556544847684977</v>
      </c>
      <c r="C73">
        <f t="shared" si="598"/>
        <v>8.6269994716856893</v>
      </c>
      <c r="E73" s="15"/>
    </row>
    <row r="74">
      <c r="A74" s="15">
        <f t="shared" si="595"/>
        <v>71</v>
      </c>
      <c r="B74">
        <v>1.4914582596580135</v>
      </c>
      <c r="C74">
        <f t="shared" si="598"/>
        <v>9.2940431937725094</v>
      </c>
      <c r="E74" s="15"/>
    </row>
    <row r="75">
      <c r="A75" s="15">
        <f t="shared" ref="A75:A100" si="599">A74+1</f>
        <v>72</v>
      </c>
      <c r="B75">
        <v>0.55887199260532749</v>
      </c>
      <c r="C75">
        <f t="shared" si="598"/>
        <v>8.4137893229457603</v>
      </c>
      <c r="E75" s="15"/>
    </row>
    <row r="76">
      <c r="A76" s="15">
        <f t="shared" si="599"/>
        <v>73</v>
      </c>
      <c r="B76">
        <v>2.2256149329632144</v>
      </c>
      <c r="C76">
        <f t="shared" ref="C76:C99" si="600">5+0.4*C75-0.1*C74+B76</f>
        <v>9.6617263427642595</v>
      </c>
      <c r="E76" s="15"/>
    </row>
    <row r="77">
      <c r="A77" s="15">
        <f t="shared" si="599"/>
        <v>74</v>
      </c>
      <c r="B77">
        <v>0.33039836348496526</v>
      </c>
      <c r="C77">
        <f t="shared" si="600"/>
        <v>8.3537099682960996</v>
      </c>
      <c r="E77" s="15"/>
    </row>
    <row r="78">
      <c r="A78" s="15">
        <f t="shared" si="599"/>
        <v>75</v>
      </c>
      <c r="B78">
        <v>-0.3625948843394724</v>
      </c>
      <c r="C78">
        <f t="shared" si="600"/>
        <v>7.0127164687025498</v>
      </c>
      <c r="E78" s="15"/>
    </row>
    <row r="79">
      <c r="A79" s="15">
        <f t="shared" si="599"/>
        <v>76</v>
      </c>
      <c r="B79">
        <v>1.9818619329053881</v>
      </c>
      <c r="C79">
        <f t="shared" si="600"/>
        <v>8.9515775235568</v>
      </c>
      <c r="E79" s="15"/>
    </row>
    <row r="80">
      <c r="A80" s="15">
        <f t="shared" si="599"/>
        <v>77</v>
      </c>
      <c r="B80">
        <v>-9.2253382281325291e-02</v>
      </c>
      <c r="C80">
        <f t="shared" si="600"/>
        <v>7.78710598027115</v>
      </c>
      <c r="E80" s="15"/>
    </row>
    <row r="81">
      <c r="A81" s="15">
        <f t="shared" si="599"/>
        <v>78</v>
      </c>
      <c r="B81">
        <v>-1.2282384514060356</v>
      </c>
      <c r="C81">
        <f t="shared" si="600"/>
        <v>5.9914461883467398</v>
      </c>
      <c r="E81" s="15"/>
    </row>
    <row r="82">
      <c r="A82" s="15">
        <f t="shared" si="599"/>
        <v>79</v>
      </c>
      <c r="B82">
        <v>-0.5707665331198899</v>
      </c>
      <c r="C82">
        <f t="shared" si="600"/>
        <v>6.0471013441916996</v>
      </c>
      <c r="E82" s="15"/>
    </row>
    <row r="83">
      <c r="A83" s="15">
        <f t="shared" si="599"/>
        <v>80</v>
      </c>
      <c r="B83">
        <v>-0.62029379211375901</v>
      </c>
      <c r="C83">
        <f t="shared" si="600"/>
        <v>6.1994021267282502</v>
      </c>
      <c r="E83" s="15"/>
    </row>
    <row r="84">
      <c r="A84" s="15">
        <f t="shared" si="599"/>
        <v>81</v>
      </c>
      <c r="B84">
        <v>0.89519537380514402</v>
      </c>
      <c r="C84">
        <f t="shared" si="600"/>
        <v>7.7702460900772801</v>
      </c>
      <c r="E84" s="15"/>
    </row>
    <row r="85">
      <c r="A85" s="15">
        <f t="shared" si="599"/>
        <v>82</v>
      </c>
      <c r="B85">
        <v>-0.65328626333731554</v>
      </c>
      <c r="C85">
        <f t="shared" si="600"/>
        <v>6.8348719600207701</v>
      </c>
      <c r="E85" s="15"/>
    </row>
    <row r="86">
      <c r="A86" s="15">
        <f t="shared" si="599"/>
        <v>83</v>
      </c>
      <c r="B86">
        <v>0.37180332410663047</v>
      </c>
      <c r="C86">
        <f t="shared" si="600"/>
        <v>7.3287274991072104</v>
      </c>
      <c r="E86" s="15"/>
    </row>
    <row r="87">
      <c r="A87" s="15">
        <f t="shared" si="599"/>
        <v>84</v>
      </c>
      <c r="B87">
        <v>-0.42871860170373727</v>
      </c>
      <c r="C87">
        <f t="shared" si="600"/>
        <v>6.8192852019370598</v>
      </c>
      <c r="E87" s="15"/>
    </row>
    <row r="88">
      <c r="A88" s="15">
        <f t="shared" si="599"/>
        <v>85</v>
      </c>
      <c r="B88">
        <v>-0.56805227865243613</v>
      </c>
      <c r="C88">
        <f t="shared" si="600"/>
        <v>6.4267890522116602</v>
      </c>
      <c r="E88" s="15"/>
    </row>
    <row r="89">
      <c r="A89" s="15">
        <f t="shared" si="599"/>
        <v>86</v>
      </c>
      <c r="B89">
        <v>-1.33327947803549</v>
      </c>
      <c r="C89">
        <f t="shared" si="600"/>
        <v>5.5555076226554601</v>
      </c>
      <c r="E89" s="15"/>
    </row>
    <row r="90">
      <c r="A90" s="15">
        <f t="shared" si="599"/>
        <v>87</v>
      </c>
      <c r="B90">
        <v>-0.20051644492783488</v>
      </c>
      <c r="C90">
        <f t="shared" si="600"/>
        <v>6.3790076989131803</v>
      </c>
      <c r="E90" s="15"/>
    </row>
    <row r="91">
      <c r="A91" s="15">
        <f t="shared" si="599"/>
        <v>88</v>
      </c>
      <c r="B91">
        <v>-0.14918393591633625</v>
      </c>
      <c r="C91">
        <f t="shared" si="600"/>
        <v>6.8468683813833904</v>
      </c>
      <c r="E91" s="15"/>
    </row>
    <row r="92">
      <c r="A92" s="15">
        <f t="shared" si="599"/>
        <v>89</v>
      </c>
      <c r="B92">
        <v>-0.57106267895885487</v>
      </c>
      <c r="C92">
        <f t="shared" si="600"/>
        <v>6.5297839037031897</v>
      </c>
      <c r="E92" s="15"/>
    </row>
    <row r="93">
      <c r="A93" s="15">
        <f t="shared" si="599"/>
        <v>90</v>
      </c>
      <c r="B93">
        <v>4.4994003861240695e-02</v>
      </c>
      <c r="C93">
        <f t="shared" si="600"/>
        <v>6.9722207272041796</v>
      </c>
      <c r="E93" s="15"/>
    </row>
    <row r="94">
      <c r="A94" s="15">
        <f t="shared" si="599"/>
        <v>91</v>
      </c>
      <c r="B94">
        <v>0.78508073324975647</v>
      </c>
      <c r="C94">
        <f t="shared" si="600"/>
        <v>7.92099063376111</v>
      </c>
      <c r="E94" s="15"/>
    </row>
    <row r="95">
      <c r="A95" s="15">
        <f t="shared" si="599"/>
        <v>92</v>
      </c>
      <c r="B95">
        <v>0.27706110462678102</v>
      </c>
      <c r="C95">
        <f t="shared" si="600"/>
        <v>7.7482352854108001</v>
      </c>
      <c r="E95" s="15"/>
    </row>
    <row r="96">
      <c r="A96" s="15">
        <f t="shared" si="599"/>
        <v>93</v>
      </c>
      <c r="B96">
        <v>-0.40520581444015136</v>
      </c>
      <c r="C96">
        <f t="shared" si="600"/>
        <v>6.9019892363480597</v>
      </c>
      <c r="E96" s="15"/>
    </row>
    <row r="97">
      <c r="A97" s="15">
        <f t="shared" si="599"/>
        <v>94</v>
      </c>
      <c r="B97">
        <v>-1.7421983579903866</v>
      </c>
      <c r="C97">
        <f t="shared" si="600"/>
        <v>5.2437738080077496</v>
      </c>
      <c r="E97" s="15"/>
    </row>
    <row r="98">
      <c r="A98" s="15">
        <f t="shared" si="599"/>
        <v>95</v>
      </c>
      <c r="B98">
        <v>-0.41879251439262816</v>
      </c>
      <c r="C98">
        <f t="shared" si="600"/>
        <v>5.9885180851756701</v>
      </c>
      <c r="E98" s="15"/>
    </row>
    <row r="99">
      <c r="A99" s="15">
        <f t="shared" si="599"/>
        <v>96</v>
      </c>
      <c r="B99">
        <v>-0.94742147674947075</v>
      </c>
      <c r="C99">
        <f t="shared" si="600"/>
        <v>5.92360837652003</v>
      </c>
      <c r="E99" s="15"/>
    </row>
    <row r="100">
      <c r="A100" s="15">
        <f t="shared" si="599"/>
        <v>97</v>
      </c>
      <c r="B100">
        <v>0.74620903309226372</v>
      </c>
      <c r="C100">
        <f>5+0.4*C99-0.1*C98+B100</f>
        <v>7.5168005751826996</v>
      </c>
      <c r="E100" s="15"/>
    </row>
    <row r="101">
      <c r="A101" s="15">
        <f t="shared" ref="A101:A103" si="601">A100+1</f>
        <v>98</v>
      </c>
      <c r="B101">
        <v>0.44767087391513377</v>
      </c>
      <c r="C101">
        <f>5+0.4*C100-0.1*C99+B101</f>
        <v>7.8620302663362098</v>
      </c>
      <c r="E101" s="15"/>
    </row>
    <row r="102">
      <c r="A102" s="15">
        <f t="shared" si="601"/>
        <v>99</v>
      </c>
      <c r="B102">
        <v>-0.65854682304090495</v>
      </c>
      <c r="C102">
        <f t="shared" ref="C102:C103" si="602">5+0.4*C101-0.1*C100+B102</f>
        <v>6.7345852259753096</v>
      </c>
      <c r="E102" s="15"/>
    </row>
    <row r="103">
      <c r="A103" s="15">
        <f t="shared" si="601"/>
        <v>100</v>
      </c>
      <c r="B103" s="14">
        <v>1.5582131382999855</v>
      </c>
      <c r="C103" s="14">
        <f t="shared" si="602"/>
        <v>8.4658442020564895</v>
      </c>
      <c r="E103" s="15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6" max="7" width="10.178571"/>
  </cols>
  <sheetData>
    <row r="1">
      <c r="A1" s="52" t="s">
        <v>458</v>
      </c>
    </row>
    <row r="3">
      <c r="B3" s="4" t="s">
        <v>342</v>
      </c>
      <c r="C3" s="4" t="s">
        <v>343</v>
      </c>
      <c r="E3" s="4" t="s">
        <v>291</v>
      </c>
      <c r="F3" s="4" t="s">
        <v>328</v>
      </c>
      <c r="G3" s="4" t="s">
        <v>438</v>
      </c>
    </row>
    <row r="4">
      <c r="A4" s="15">
        <v>1</v>
      </c>
      <c r="B4">
        <v>-0.47324253014025192</v>
      </c>
      <c r="C4">
        <f>5+0.4*0-0.1*0+B4</f>
        <v>4.5267574698597501</v>
      </c>
      <c r="E4" s="15"/>
    </row>
    <row r="5">
      <c r="A5" s="15">
        <f t="shared" ref="A5:A10" si="603">A4+1</f>
        <v>2</v>
      </c>
      <c r="B5">
        <v>8.2667789568597605e-02</v>
      </c>
      <c r="C5">
        <f>5+0.4*C4-0.1*0+B5</f>
        <v>6.8933707775124997</v>
      </c>
      <c r="E5" s="15"/>
    </row>
    <row r="6">
      <c r="A6" s="15">
        <f t="shared" si="603"/>
        <v>3</v>
      </c>
      <c r="B6">
        <v>1.1207225535485554</v>
      </c>
      <c r="C6">
        <f t="shared" ref="C6:C9" si="604">5+0.4*C5-0.1*C4+B6</f>
        <v>8.4253951175675894</v>
      </c>
      <c r="E6" s="15">
        <v>1</v>
      </c>
      <c r="F6" s="5" t="e">
        <v>#NAME?</v>
      </c>
      <c r="G6" s="6">
        <f>0.4^E6</f>
        <v>0.40000000000000002</v>
      </c>
    </row>
    <row r="7">
      <c r="A7" s="15">
        <f t="shared" si="603"/>
        <v>4</v>
      </c>
      <c r="B7">
        <v>-0.68131888228678594</v>
      </c>
      <c r="C7">
        <f t="shared" si="604"/>
        <v>6.9995020869890103</v>
      </c>
      <c r="E7" s="15">
        <f t="shared" ref="E7:E10" si="605">E6+1</f>
        <v>2</v>
      </c>
      <c r="F7" s="8" t="e">
        <v>#NAME?</v>
      </c>
      <c r="G7" s="9">
        <v>-0.10000000000000001</v>
      </c>
    </row>
    <row r="8">
      <c r="A8" s="15">
        <f t="shared" si="603"/>
        <v>5</v>
      </c>
      <c r="B8">
        <v>-0.7696671614087579</v>
      </c>
      <c r="C8">
        <f t="shared" si="604"/>
        <v>6.1875941616300798</v>
      </c>
      <c r="E8" s="15">
        <f t="shared" si="605"/>
        <v>3</v>
      </c>
      <c r="F8" s="8" t="e">
        <v>#NAME?</v>
      </c>
      <c r="G8" s="9">
        <v>0</v>
      </c>
    </row>
    <row r="9">
      <c r="A9" s="15">
        <f t="shared" si="603"/>
        <v>6</v>
      </c>
      <c r="B9">
        <v>-0.96211098507331005</v>
      </c>
      <c r="C9">
        <f t="shared" si="604"/>
        <v>5.8129764708798204</v>
      </c>
      <c r="E9" s="15">
        <f t="shared" si="605"/>
        <v>4</v>
      </c>
      <c r="F9" s="8" t="e">
        <v>#NAME?</v>
      </c>
      <c r="G9" s="9">
        <v>0</v>
      </c>
    </row>
    <row r="10">
      <c r="A10" s="15">
        <f t="shared" si="603"/>
        <v>7</v>
      </c>
      <c r="B10">
        <v>0.41364151532991678</v>
      </c>
      <c r="C10">
        <f>5+0.4*C9-0.1*C8+B10</f>
        <v>7.1200726875188396</v>
      </c>
      <c r="E10" s="15">
        <f t="shared" si="605"/>
        <v>5</v>
      </c>
      <c r="F10" s="8" t="e">
        <v>#NAME?</v>
      </c>
      <c r="G10" s="9">
        <v>0</v>
      </c>
    </row>
    <row r="11">
      <c r="A11" s="15">
        <f t="shared" ref="A11:A74" si="606">A10+1</f>
        <v>8</v>
      </c>
      <c r="B11">
        <v>1.2351835053545517</v>
      </c>
      <c r="C11">
        <f>5+0.4*C10-0.1*C9+B11</f>
        <v>8.5019149332741097</v>
      </c>
      <c r="E11" s="15">
        <f t="shared" ref="E11:E20" si="607">E10+1</f>
        <v>6</v>
      </c>
      <c r="F11" s="8" t="e">
        <v>#NAME?</v>
      </c>
      <c r="G11" s="9">
        <v>0</v>
      </c>
    </row>
    <row r="12">
      <c r="A12" s="15">
        <f t="shared" si="606"/>
        <v>9</v>
      </c>
      <c r="B12">
        <v>-0.38753659937569779</v>
      </c>
      <c r="C12">
        <f t="shared" ref="C12:C75" si="608">5+0.4*C11-0.1*C10+B12</f>
        <v>7.3012221051820596</v>
      </c>
      <c r="E12" s="15">
        <f t="shared" si="607"/>
        <v>7</v>
      </c>
      <c r="F12" s="8" t="e">
        <v>#NAME?</v>
      </c>
      <c r="G12" s="9">
        <v>0</v>
      </c>
    </row>
    <row r="13">
      <c r="A13" s="15">
        <f t="shared" si="606"/>
        <v>10</v>
      </c>
      <c r="B13">
        <v>-1.0314205193621426</v>
      </c>
      <c r="C13">
        <f t="shared" si="608"/>
        <v>6.0388768293832698</v>
      </c>
      <c r="E13" s="15">
        <f t="shared" si="607"/>
        <v>8</v>
      </c>
      <c r="F13" s="8" t="e">
        <v>#NAME?</v>
      </c>
      <c r="G13" s="9">
        <v>0</v>
      </c>
    </row>
    <row r="14">
      <c r="A14" s="15">
        <f t="shared" si="606"/>
        <v>11</v>
      </c>
      <c r="B14">
        <v>-1.9393388320973126</v>
      </c>
      <c r="C14">
        <f t="shared" si="608"/>
        <v>4.7460896891377899</v>
      </c>
      <c r="E14" s="15">
        <f t="shared" si="607"/>
        <v>9</v>
      </c>
      <c r="F14" s="8" t="e">
        <v>#NAME?</v>
      </c>
      <c r="G14" s="9">
        <v>0</v>
      </c>
    </row>
    <row r="15">
      <c r="A15" s="15">
        <f t="shared" si="606"/>
        <v>12</v>
      </c>
      <c r="B15">
        <v>0.35912852564205311</v>
      </c>
      <c r="C15">
        <f t="shared" si="608"/>
        <v>6.6536767183588399</v>
      </c>
      <c r="E15" s="15">
        <f t="shared" si="607"/>
        <v>10</v>
      </c>
      <c r="F15" s="8" t="e">
        <v>#NAME?</v>
      </c>
      <c r="G15" s="9">
        <v>0</v>
      </c>
    </row>
    <row r="16">
      <c r="A16" s="15">
        <f t="shared" si="606"/>
        <v>13</v>
      </c>
      <c r="B16">
        <v>1.0071142010572025</v>
      </c>
      <c r="C16">
        <f t="shared" si="608"/>
        <v>8.1939759194869595</v>
      </c>
      <c r="E16" s="15">
        <f t="shared" si="607"/>
        <v>11</v>
      </c>
      <c r="F16" s="8" t="e">
        <v>#NAME?</v>
      </c>
      <c r="G16" s="9">
        <v>0</v>
      </c>
    </row>
    <row r="17">
      <c r="A17" s="15">
        <f t="shared" si="606"/>
        <v>14</v>
      </c>
      <c r="B17">
        <v>-5.1959162489554032e-02</v>
      </c>
      <c r="C17">
        <f t="shared" si="608"/>
        <v>7.5602635334693504</v>
      </c>
      <c r="E17" s="15">
        <f t="shared" si="607"/>
        <v>12</v>
      </c>
      <c r="F17" s="8" t="e">
        <v>#NAME?</v>
      </c>
      <c r="G17" s="9">
        <v>0</v>
      </c>
    </row>
    <row r="18">
      <c r="A18" s="15">
        <f t="shared" si="606"/>
        <v>15</v>
      </c>
      <c r="B18">
        <v>-0.41025652430283605</v>
      </c>
      <c r="C18">
        <f t="shared" si="608"/>
        <v>6.7944512971362103</v>
      </c>
      <c r="E18" s="15">
        <f t="shared" si="607"/>
        <v>13</v>
      </c>
      <c r="F18" s="8" t="e">
        <v>#NAME?</v>
      </c>
      <c r="G18" s="9">
        <v>0</v>
      </c>
    </row>
    <row r="19">
      <c r="A19" s="15">
        <f t="shared" si="606"/>
        <v>16</v>
      </c>
      <c r="B19">
        <v>-2.2372876303491598</v>
      </c>
      <c r="C19">
        <f t="shared" si="608"/>
        <v>4.7244665351583901</v>
      </c>
      <c r="E19" s="15">
        <f t="shared" si="607"/>
        <v>14</v>
      </c>
      <c r="F19" s="8" t="e">
        <v>#NAME?</v>
      </c>
      <c r="G19" s="9">
        <v>0</v>
      </c>
    </row>
    <row r="20">
      <c r="A20" s="15">
        <f t="shared" si="606"/>
        <v>17</v>
      </c>
      <c r="B20">
        <v>-0.18318635781115453</v>
      </c>
      <c r="C20">
        <f t="shared" si="608"/>
        <v>6.0271551265385899</v>
      </c>
      <c r="E20" s="15">
        <f t="shared" si="607"/>
        <v>15</v>
      </c>
      <c r="F20" s="11" t="e">
        <v>#NAME?</v>
      </c>
      <c r="G20" s="12">
        <v>0</v>
      </c>
    </row>
    <row r="21">
      <c r="A21" s="15">
        <f t="shared" si="606"/>
        <v>18</v>
      </c>
      <c r="B21">
        <v>0.18749462876249157</v>
      </c>
      <c r="C21">
        <f t="shared" si="608"/>
        <v>7.1259100258620904</v>
      </c>
    </row>
    <row r="22">
      <c r="A22" s="15">
        <f t="shared" si="606"/>
        <v>19</v>
      </c>
      <c r="B22">
        <v>-5.6400668198823042e-02</v>
      </c>
      <c r="C22">
        <f t="shared" si="608"/>
        <v>7.19124782949216</v>
      </c>
    </row>
    <row r="23">
      <c r="A23" s="15">
        <f t="shared" si="606"/>
        <v>20</v>
      </c>
      <c r="B23">
        <v>-0.48121649086566337</v>
      </c>
      <c r="C23">
        <f t="shared" si="608"/>
        <v>6.6826916383449904</v>
      </c>
    </row>
    <row r="24">
      <c r="A24" s="15">
        <f t="shared" si="606"/>
        <v>21</v>
      </c>
      <c r="B24">
        <v>-0.38179474938688318</v>
      </c>
      <c r="C24">
        <f t="shared" si="608"/>
        <v>6.5721571230019</v>
      </c>
    </row>
    <row r="25">
      <c r="A25" s="15">
        <f t="shared" si="606"/>
        <v>22</v>
      </c>
      <c r="B25">
        <v>-0.20785477186378326</v>
      </c>
      <c r="C25">
        <f t="shared" si="608"/>
        <v>6.7527389135024798</v>
      </c>
    </row>
    <row r="26">
      <c r="A26" s="15">
        <f t="shared" si="606"/>
        <v>23</v>
      </c>
      <c r="B26">
        <v>-1.3964797995563232</v>
      </c>
      <c r="C26">
        <f t="shared" si="608"/>
        <v>5.6474000535444802</v>
      </c>
    </row>
    <row r="27">
      <c r="A27" s="15">
        <f t="shared" si="606"/>
        <v>24</v>
      </c>
      <c r="B27">
        <v>-0.10631712587124005</v>
      </c>
      <c r="C27">
        <f t="shared" si="608"/>
        <v>6.4773690041962997</v>
      </c>
    </row>
    <row r="28">
      <c r="A28" s="15">
        <f t="shared" si="606"/>
        <v>25</v>
      </c>
      <c r="B28">
        <v>0.26416614209328254</v>
      </c>
      <c r="C28">
        <f t="shared" si="608"/>
        <v>7.2903737384173501</v>
      </c>
    </row>
    <row r="29">
      <c r="A29" s="15">
        <f t="shared" si="606"/>
        <v>26</v>
      </c>
      <c r="B29">
        <v>0.56209410321803166</v>
      </c>
      <c r="C29">
        <f t="shared" si="608"/>
        <v>7.8305066981653404</v>
      </c>
    </row>
    <row r="30">
      <c r="A30" s="15">
        <f t="shared" si="606"/>
        <v>27</v>
      </c>
      <c r="B30">
        <v>0.34951765278906405</v>
      </c>
      <c r="C30">
        <f t="shared" si="608"/>
        <v>7.7526829582134704</v>
      </c>
    </row>
    <row r="31">
      <c r="A31" s="15">
        <f t="shared" si="606"/>
        <v>28</v>
      </c>
      <c r="B31">
        <v>-1.4196432813369184</v>
      </c>
      <c r="C31">
        <f t="shared" si="608"/>
        <v>5.8983792321319397</v>
      </c>
    </row>
    <row r="32">
      <c r="A32" s="15">
        <f t="shared" si="606"/>
        <v>29</v>
      </c>
      <c r="B32">
        <v>0.41292682554218701</v>
      </c>
      <c r="C32">
        <f t="shared" si="608"/>
        <v>6.9970102225736204</v>
      </c>
    </row>
    <row r="33">
      <c r="A33" s="15">
        <f t="shared" si="606"/>
        <v>30</v>
      </c>
      <c r="B33">
        <v>0.35807000330701766</v>
      </c>
      <c r="C33">
        <f t="shared" si="608"/>
        <v>7.5670361691232797</v>
      </c>
    </row>
    <row r="34">
      <c r="A34" s="15">
        <f t="shared" si="606"/>
        <v>31</v>
      </c>
      <c r="B34">
        <v>-1.3945310478710271</v>
      </c>
      <c r="C34">
        <f t="shared" si="608"/>
        <v>5.9325823975209202</v>
      </c>
    </row>
    <row r="35">
      <c r="A35" s="15">
        <f t="shared" si="606"/>
        <v>32</v>
      </c>
      <c r="B35">
        <v>-0.3446553575860089</v>
      </c>
      <c r="C35">
        <f t="shared" si="608"/>
        <v>6.2716739845100298</v>
      </c>
    </row>
    <row r="36">
      <c r="A36" s="15">
        <f t="shared" si="606"/>
        <v>33</v>
      </c>
      <c r="B36">
        <v>0.6773260419350895</v>
      </c>
      <c r="C36">
        <f t="shared" si="608"/>
        <v>7.5927373959870099</v>
      </c>
    </row>
    <row r="37">
      <c r="A37" s="15">
        <f t="shared" si="606"/>
        <v>34</v>
      </c>
      <c r="B37">
        <v>-0.33272164613616745</v>
      </c>
      <c r="C37">
        <f t="shared" si="608"/>
        <v>7.0772059138076298</v>
      </c>
    </row>
    <row r="38">
      <c r="A38" s="15">
        <f t="shared" si="606"/>
        <v>35</v>
      </c>
      <c r="B38">
        <v>0.16193253442993721</v>
      </c>
      <c r="C38">
        <f t="shared" si="608"/>
        <v>7.2335411603542896</v>
      </c>
    </row>
    <row r="39">
      <c r="A39" s="15">
        <f t="shared" si="606"/>
        <v>36</v>
      </c>
      <c r="B39">
        <v>2.0958988923338446</v>
      </c>
      <c r="C39">
        <f t="shared" si="608"/>
        <v>9.2815947650948107</v>
      </c>
    </row>
    <row r="40">
      <c r="A40" s="15">
        <f t="shared" si="606"/>
        <v>37</v>
      </c>
      <c r="B40">
        <v>0.13687130286193497</v>
      </c>
      <c r="C40">
        <f t="shared" si="608"/>
        <v>8.1261550928644404</v>
      </c>
    </row>
    <row r="41">
      <c r="A41" s="15">
        <f t="shared" si="606"/>
        <v>38</v>
      </c>
      <c r="B41">
        <v>0.15164038123128817</v>
      </c>
      <c r="C41">
        <f t="shared" si="608"/>
        <v>7.4739429418675902</v>
      </c>
    </row>
    <row r="42">
      <c r="A42" s="15">
        <f t="shared" si="606"/>
        <v>39</v>
      </c>
      <c r="B42">
        <v>-1.3286774610778544</v>
      </c>
      <c r="C42">
        <f t="shared" si="608"/>
        <v>5.8482842063827496</v>
      </c>
    </row>
    <row r="43">
      <c r="A43" s="15">
        <f t="shared" si="606"/>
        <v>40</v>
      </c>
      <c r="B43">
        <v>-1.6831783661549446</v>
      </c>
      <c r="C43">
        <f t="shared" si="608"/>
        <v>4.9087410222113999</v>
      </c>
    </row>
    <row r="44">
      <c r="A44" s="15">
        <f t="shared" si="606"/>
        <v>41</v>
      </c>
      <c r="B44">
        <v>2.1773330001221294</v>
      </c>
      <c r="C44">
        <f t="shared" si="608"/>
        <v>8.5560009883684192</v>
      </c>
    </row>
    <row r="45">
      <c r="A45" s="15">
        <f t="shared" si="606"/>
        <v>42</v>
      </c>
      <c r="B45">
        <v>0.84300462021271172</v>
      </c>
      <c r="C45">
        <f t="shared" si="608"/>
        <v>8.7745309133389409</v>
      </c>
    </row>
    <row r="46">
      <c r="A46" s="15">
        <f t="shared" si="606"/>
        <v>43</v>
      </c>
      <c r="B46">
        <v>-0.11653470961109491</v>
      </c>
      <c r="C46">
        <f t="shared" si="608"/>
        <v>7.5376775568876502</v>
      </c>
    </row>
    <row r="47">
      <c r="A47" s="15">
        <f t="shared" si="606"/>
        <v>44</v>
      </c>
      <c r="B47">
        <v>1.1335178378349215</v>
      </c>
      <c r="C47">
        <f t="shared" si="608"/>
        <v>8.2711357692560892</v>
      </c>
    </row>
    <row r="48">
      <c r="A48" s="15">
        <f t="shared" si="606"/>
        <v>45</v>
      </c>
      <c r="B48">
        <v>2.0614058880224517</v>
      </c>
      <c r="C48">
        <f t="shared" si="608"/>
        <v>9.6160924400361303</v>
      </c>
    </row>
    <row r="49">
      <c r="A49" s="15">
        <f t="shared" si="606"/>
        <v>46</v>
      </c>
      <c r="B49">
        <v>1.1006258259814818</v>
      </c>
      <c r="C49">
        <f t="shared" si="608"/>
        <v>9.1199492250703198</v>
      </c>
    </row>
    <row r="50">
      <c r="A50" s="15">
        <f t="shared" si="606"/>
        <v>47</v>
      </c>
      <c r="B50">
        <v>-0.11243048824424991</v>
      </c>
      <c r="C50">
        <f t="shared" si="608"/>
        <v>7.5739399577802704</v>
      </c>
    </row>
    <row r="51">
      <c r="A51" s="15">
        <f t="shared" si="606"/>
        <v>48</v>
      </c>
      <c r="B51">
        <v>0.89967999134606913</v>
      </c>
      <c r="C51">
        <f t="shared" si="608"/>
        <v>8.0172610519511505</v>
      </c>
    </row>
    <row r="52">
      <c r="A52" s="15">
        <f t="shared" si="606"/>
        <v>49</v>
      </c>
      <c r="B52">
        <v>-0.73154188371208884</v>
      </c>
      <c r="C52">
        <f t="shared" si="608"/>
        <v>6.7179685412903396</v>
      </c>
    </row>
    <row r="53">
      <c r="A53" s="15">
        <f t="shared" si="606"/>
        <v>50</v>
      </c>
      <c r="B53">
        <v>0.74598633697981309</v>
      </c>
      <c r="C53">
        <f t="shared" si="608"/>
        <v>7.6314476483008402</v>
      </c>
    </row>
    <row r="54">
      <c r="A54" s="15">
        <f t="shared" si="606"/>
        <v>51</v>
      </c>
      <c r="B54">
        <v>-0.42642490989986637</v>
      </c>
      <c r="C54">
        <f t="shared" si="608"/>
        <v>6.9543572952914499</v>
      </c>
    </row>
    <row r="55">
      <c r="A55" s="15">
        <f t="shared" si="606"/>
        <v>52</v>
      </c>
      <c r="B55">
        <v>-0.41011257152708913</v>
      </c>
      <c r="C55">
        <f t="shared" si="608"/>
        <v>6.6084855817594104</v>
      </c>
    </row>
    <row r="56">
      <c r="A56" s="15">
        <f t="shared" si="606"/>
        <v>53</v>
      </c>
      <c r="B56">
        <v>-0.49783542260902636</v>
      </c>
      <c r="C56">
        <f t="shared" si="608"/>
        <v>6.4501230805655903</v>
      </c>
    </row>
    <row r="57">
      <c r="A57" s="15">
        <f t="shared" si="606"/>
        <v>54</v>
      </c>
      <c r="B57">
        <v>0.76871122871467412</v>
      </c>
      <c r="C57">
        <f t="shared" si="608"/>
        <v>7.6879119027649701</v>
      </c>
    </row>
    <row r="58">
      <c r="A58" s="15">
        <f t="shared" si="606"/>
        <v>55</v>
      </c>
      <c r="B58">
        <v>-1.6365342070552806</v>
      </c>
      <c r="C58">
        <f t="shared" si="608"/>
        <v>5.7936182459941499</v>
      </c>
    </row>
    <row r="59">
      <c r="A59" s="15">
        <f t="shared" si="606"/>
        <v>56</v>
      </c>
      <c r="B59">
        <v>1.1312536481777808e-02</v>
      </c>
      <c r="C59">
        <f t="shared" si="608"/>
        <v>6.5599686446029404</v>
      </c>
    </row>
    <row r="60">
      <c r="A60" s="15">
        <f t="shared" si="606"/>
        <v>57</v>
      </c>
      <c r="B60">
        <v>1.0056243592004324</v>
      </c>
      <c r="C60">
        <f t="shared" si="608"/>
        <v>8.0502499924422004</v>
      </c>
    </row>
    <row r="61">
      <c r="A61" s="15">
        <f t="shared" si="606"/>
        <v>58</v>
      </c>
      <c r="B61">
        <v>-1.4480389039930932</v>
      </c>
      <c r="C61">
        <f t="shared" si="608"/>
        <v>6.1160642285235003</v>
      </c>
    </row>
    <row r="62">
      <c r="A62" s="15">
        <f t="shared" si="606"/>
        <v>59</v>
      </c>
      <c r="B62">
        <v>7.1484695132023712e-02</v>
      </c>
      <c r="C62">
        <f t="shared" si="608"/>
        <v>6.7128853872971996</v>
      </c>
    </row>
    <row r="63">
      <c r="A63" s="15">
        <f t="shared" si="606"/>
        <v>60</v>
      </c>
      <c r="B63">
        <v>-0.10077857436046947</v>
      </c>
      <c r="C63">
        <f t="shared" si="608"/>
        <v>6.9727691577060602</v>
      </c>
    </row>
    <row r="64">
      <c r="A64" s="15">
        <f t="shared" si="606"/>
        <v>61</v>
      </c>
      <c r="B64">
        <v>-1.725637170375401</v>
      </c>
      <c r="C64">
        <f t="shared" si="608"/>
        <v>5.3921819539772997</v>
      </c>
    </row>
    <row r="65">
      <c r="A65" s="15">
        <f t="shared" si="606"/>
        <v>62</v>
      </c>
      <c r="B65">
        <v>-1.179892282500298</v>
      </c>
      <c r="C65">
        <f t="shared" si="608"/>
        <v>5.2797035833200097</v>
      </c>
    </row>
    <row r="66">
      <c r="A66" s="15">
        <f t="shared" si="606"/>
        <v>63</v>
      </c>
      <c r="B66">
        <v>0.89714189254889531</v>
      </c>
      <c r="C66">
        <f t="shared" si="608"/>
        <v>7.4698051304791697</v>
      </c>
    </row>
    <row r="67">
      <c r="A67" s="15">
        <f t="shared" si="606"/>
        <v>64</v>
      </c>
      <c r="B67">
        <v>-2.1053252206398696</v>
      </c>
      <c r="C67">
        <f t="shared" si="608"/>
        <v>5.3546264732197999</v>
      </c>
    </row>
    <row r="68">
      <c r="A68" s="15">
        <f t="shared" si="606"/>
        <v>65</v>
      </c>
      <c r="B68">
        <v>0.99139292864806661</v>
      </c>
      <c r="C68">
        <f t="shared" si="608"/>
        <v>7.38626300488807</v>
      </c>
    </row>
    <row r="69">
      <c r="A69" s="15">
        <f t="shared" si="606"/>
        <v>66</v>
      </c>
      <c r="B69">
        <v>1.4979503123490685</v>
      </c>
      <c r="C69">
        <f t="shared" si="608"/>
        <v>8.9169928669823193</v>
      </c>
    </row>
    <row r="70">
      <c r="A70" s="15">
        <f t="shared" si="606"/>
        <v>67</v>
      </c>
      <c r="B70">
        <v>0.20183810054931067</v>
      </c>
      <c r="C70">
        <f t="shared" si="608"/>
        <v>8.0300089468534299</v>
      </c>
    </row>
    <row r="71">
      <c r="A71" s="15">
        <f t="shared" si="606"/>
        <v>68</v>
      </c>
      <c r="B71">
        <v>0.89484002117632522</v>
      </c>
      <c r="C71">
        <f t="shared" si="608"/>
        <v>8.2151443132194704</v>
      </c>
    </row>
    <row r="72">
      <c r="A72" s="15">
        <f t="shared" si="606"/>
        <v>69</v>
      </c>
      <c r="B72">
        <v>-1.0009082850046127</v>
      </c>
      <c r="C72">
        <f t="shared" si="608"/>
        <v>6.4821485455978403</v>
      </c>
    </row>
    <row r="73">
      <c r="A73" s="15">
        <f t="shared" si="606"/>
        <v>70</v>
      </c>
      <c r="B73">
        <v>1.8556544847684977</v>
      </c>
      <c r="C73">
        <f t="shared" si="608"/>
        <v>8.6269994716856893</v>
      </c>
    </row>
    <row r="74">
      <c r="A74" s="15">
        <f t="shared" si="606"/>
        <v>71</v>
      </c>
      <c r="B74">
        <v>1.4914582596580135</v>
      </c>
      <c r="C74">
        <f t="shared" si="608"/>
        <v>9.2940431937725094</v>
      </c>
    </row>
    <row r="75">
      <c r="A75" s="15">
        <f t="shared" ref="A75:A100" si="609">A74+1</f>
        <v>72</v>
      </c>
      <c r="B75">
        <v>0.55887199260532749</v>
      </c>
      <c r="C75">
        <f t="shared" si="608"/>
        <v>8.4137893229457603</v>
      </c>
    </row>
    <row r="76">
      <c r="A76" s="15">
        <f t="shared" si="609"/>
        <v>73</v>
      </c>
      <c r="B76">
        <v>2.2256149329632144</v>
      </c>
      <c r="C76">
        <f t="shared" ref="C76:C99" si="610">5+0.4*C75-0.1*C74+B76</f>
        <v>9.6617263427642595</v>
      </c>
    </row>
    <row r="77">
      <c r="A77" s="15">
        <f t="shared" si="609"/>
        <v>74</v>
      </c>
      <c r="B77">
        <v>0.33039836348496526</v>
      </c>
      <c r="C77">
        <f t="shared" si="610"/>
        <v>8.3537099682960996</v>
      </c>
    </row>
    <row r="78">
      <c r="A78" s="15">
        <f t="shared" si="609"/>
        <v>75</v>
      </c>
      <c r="B78">
        <v>-0.3625948843394724</v>
      </c>
      <c r="C78">
        <f t="shared" si="610"/>
        <v>7.0127164687025498</v>
      </c>
    </row>
    <row r="79">
      <c r="A79" s="15">
        <f t="shared" si="609"/>
        <v>76</v>
      </c>
      <c r="B79">
        <v>1.9818619329053881</v>
      </c>
      <c r="C79">
        <f t="shared" si="610"/>
        <v>8.9515775235568</v>
      </c>
    </row>
    <row r="80">
      <c r="A80" s="15">
        <f t="shared" si="609"/>
        <v>77</v>
      </c>
      <c r="B80">
        <v>-9.2253382281325291e-02</v>
      </c>
      <c r="C80">
        <f t="shared" si="610"/>
        <v>7.78710598027115</v>
      </c>
    </row>
    <row r="81">
      <c r="A81" s="15">
        <f t="shared" si="609"/>
        <v>78</v>
      </c>
      <c r="B81">
        <v>-1.2282384514060356</v>
      </c>
      <c r="C81">
        <f t="shared" si="610"/>
        <v>5.9914461883467398</v>
      </c>
    </row>
    <row r="82">
      <c r="A82" s="15">
        <f t="shared" si="609"/>
        <v>79</v>
      </c>
      <c r="B82">
        <v>-0.5707665331198899</v>
      </c>
      <c r="C82">
        <f t="shared" si="610"/>
        <v>6.0471013441916996</v>
      </c>
    </row>
    <row r="83">
      <c r="A83" s="15">
        <f t="shared" si="609"/>
        <v>80</v>
      </c>
      <c r="B83">
        <v>-0.62029379211375901</v>
      </c>
      <c r="C83">
        <f t="shared" si="610"/>
        <v>6.1994021267282502</v>
      </c>
    </row>
    <row r="84">
      <c r="A84" s="15">
        <f t="shared" si="609"/>
        <v>81</v>
      </c>
      <c r="B84">
        <v>0.89519537380514402</v>
      </c>
      <c r="C84">
        <f t="shared" si="610"/>
        <v>7.7702460900772801</v>
      </c>
    </row>
    <row r="85">
      <c r="A85" s="15">
        <f t="shared" si="609"/>
        <v>82</v>
      </c>
      <c r="B85">
        <v>-0.65328626333731554</v>
      </c>
      <c r="C85">
        <f t="shared" si="610"/>
        <v>6.8348719600207701</v>
      </c>
    </row>
    <row r="86">
      <c r="A86" s="15">
        <f t="shared" si="609"/>
        <v>83</v>
      </c>
      <c r="B86">
        <v>0.37180332410663047</v>
      </c>
      <c r="C86">
        <f t="shared" si="610"/>
        <v>7.3287274991072104</v>
      </c>
    </row>
    <row r="87">
      <c r="A87" s="15">
        <f t="shared" si="609"/>
        <v>84</v>
      </c>
      <c r="B87">
        <v>-0.42871860170373727</v>
      </c>
      <c r="C87">
        <f t="shared" si="610"/>
        <v>6.8192852019370598</v>
      </c>
    </row>
    <row r="88">
      <c r="A88" s="15">
        <f t="shared" si="609"/>
        <v>85</v>
      </c>
      <c r="B88">
        <v>-0.56805227865243613</v>
      </c>
      <c r="C88">
        <f t="shared" si="610"/>
        <v>6.4267890522116602</v>
      </c>
    </row>
    <row r="89">
      <c r="A89" s="15">
        <f t="shared" si="609"/>
        <v>86</v>
      </c>
      <c r="B89">
        <v>-1.33327947803549</v>
      </c>
      <c r="C89">
        <f t="shared" si="610"/>
        <v>5.5555076226554601</v>
      </c>
    </row>
    <row r="90">
      <c r="A90" s="15">
        <f t="shared" si="609"/>
        <v>87</v>
      </c>
      <c r="B90">
        <v>-0.20051644492783488</v>
      </c>
      <c r="C90">
        <f t="shared" si="610"/>
        <v>6.3790076989131803</v>
      </c>
    </row>
    <row r="91">
      <c r="A91" s="15">
        <f t="shared" si="609"/>
        <v>88</v>
      </c>
      <c r="B91">
        <v>-0.14918393591633625</v>
      </c>
      <c r="C91">
        <f t="shared" si="610"/>
        <v>6.8468683813833904</v>
      </c>
    </row>
    <row r="92">
      <c r="A92" s="15">
        <f t="shared" si="609"/>
        <v>89</v>
      </c>
      <c r="B92">
        <v>-0.57106267895885487</v>
      </c>
      <c r="C92">
        <f t="shared" si="610"/>
        <v>6.5297839037031897</v>
      </c>
    </row>
    <row r="93">
      <c r="A93" s="15">
        <f t="shared" si="609"/>
        <v>90</v>
      </c>
      <c r="B93">
        <v>4.4994003861240695e-02</v>
      </c>
      <c r="C93">
        <f t="shared" si="610"/>
        <v>6.9722207272041796</v>
      </c>
    </row>
    <row r="94">
      <c r="A94" s="15">
        <f t="shared" si="609"/>
        <v>91</v>
      </c>
      <c r="B94">
        <v>0.78508073324975647</v>
      </c>
      <c r="C94">
        <f t="shared" si="610"/>
        <v>7.92099063376111</v>
      </c>
    </row>
    <row r="95">
      <c r="A95" s="15">
        <f t="shared" si="609"/>
        <v>92</v>
      </c>
      <c r="B95">
        <v>0.27706110462678102</v>
      </c>
      <c r="C95">
        <f t="shared" si="610"/>
        <v>7.7482352854108001</v>
      </c>
    </row>
    <row r="96">
      <c r="A96" s="15">
        <f t="shared" si="609"/>
        <v>93</v>
      </c>
      <c r="B96">
        <v>-0.40520581444015136</v>
      </c>
      <c r="C96">
        <f t="shared" si="610"/>
        <v>6.9019892363480597</v>
      </c>
    </row>
    <row r="97">
      <c r="A97" s="15">
        <f t="shared" si="609"/>
        <v>94</v>
      </c>
      <c r="B97">
        <v>-1.7421983579903866</v>
      </c>
      <c r="C97">
        <f t="shared" si="610"/>
        <v>5.2437738080077496</v>
      </c>
    </row>
    <row r="98">
      <c r="A98" s="15">
        <f t="shared" si="609"/>
        <v>95</v>
      </c>
      <c r="B98">
        <v>-0.41879251439262816</v>
      </c>
      <c r="C98">
        <f t="shared" si="610"/>
        <v>5.9885180851756701</v>
      </c>
    </row>
    <row r="99">
      <c r="A99" s="15">
        <f t="shared" si="609"/>
        <v>96</v>
      </c>
      <c r="B99">
        <v>-0.94742147674947075</v>
      </c>
      <c r="C99">
        <f t="shared" si="610"/>
        <v>5.92360837652003</v>
      </c>
    </row>
    <row r="100">
      <c r="A100" s="15">
        <f t="shared" si="609"/>
        <v>97</v>
      </c>
      <c r="B100">
        <v>0.74620903309226372</v>
      </c>
      <c r="C100">
        <f>5+0.4*C99-0.1*C98+B100</f>
        <v>7.5168005751826996</v>
      </c>
    </row>
    <row r="101">
      <c r="A101" s="15">
        <f t="shared" ref="A101:A103" si="611">A100+1</f>
        <v>98</v>
      </c>
      <c r="B101">
        <v>0.44767087391513377</v>
      </c>
      <c r="C101">
        <f>5+0.4*C100-0.1*C99+B101</f>
        <v>7.8620302663362098</v>
      </c>
    </row>
    <row r="102">
      <c r="A102" s="15">
        <f t="shared" si="611"/>
        <v>99</v>
      </c>
      <c r="B102">
        <v>-0.65854682304090495</v>
      </c>
      <c r="C102">
        <f t="shared" ref="C102:C103" si="612">5+0.4*C101-0.1*C100+B102</f>
        <v>6.7345852259753096</v>
      </c>
    </row>
    <row r="103">
      <c r="A103" s="15">
        <f t="shared" si="611"/>
        <v>100</v>
      </c>
      <c r="B103" s="14">
        <v>1.5582131382999855</v>
      </c>
      <c r="C103" s="14">
        <f t="shared" si="612"/>
        <v>8.4658442020564895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4.7232139999999996"/>
    <col customWidth="1" min="3" max="3" width="3.4553569999999998"/>
    <col customWidth="1" min="4" max="4" width="3.723214"/>
    <col customWidth="1" min="5" max="5" width="9.1785709999999998"/>
    <col customWidth="1" min="7" max="7" width="2.723214"/>
    <col customWidth="1" min="9" max="9" width="2.723214"/>
    <col customWidth="1" min="11" max="11" width="4.7232139999999996"/>
    <col customWidth="1" min="15" max="15" width="5.1785709999999998"/>
    <col customWidth="1" min="16" max="16" width="9.1785709999999998"/>
    <col customWidth="1" min="22" max="22" width="9.1785709999999998"/>
    <col customWidth="1" min="28" max="28" width="17.455356999999999"/>
  </cols>
  <sheetData>
    <row r="1">
      <c r="A1" s="52" t="s">
        <v>458</v>
      </c>
      <c r="Z1" s="15"/>
      <c r="AK1" t="s">
        <v>460</v>
      </c>
    </row>
    <row r="2"/>
    <row r="3">
      <c r="B3" s="4" t="s">
        <v>343</v>
      </c>
      <c r="D3" s="4" t="s">
        <v>440</v>
      </c>
      <c r="E3" s="4"/>
      <c r="F3" s="4"/>
      <c r="H3" s="4" t="s">
        <v>343</v>
      </c>
      <c r="J3" s="4" t="s">
        <v>441</v>
      </c>
      <c r="K3" s="15"/>
      <c r="L3" s="4" t="s">
        <v>442</v>
      </c>
      <c r="M3" s="4" t="s">
        <v>443</v>
      </c>
      <c r="N3" s="4" t="s">
        <v>342</v>
      </c>
      <c r="P3" s="4" t="s">
        <v>212</v>
      </c>
      <c r="X3" s="4" t="s">
        <v>461</v>
      </c>
      <c r="Y3" s="4" t="s">
        <v>462</v>
      </c>
      <c r="Z3" s="4" t="s">
        <v>343</v>
      </c>
      <c r="AB3" t="s">
        <v>369</v>
      </c>
      <c r="AK3" s="4" t="s">
        <v>461</v>
      </c>
      <c r="AL3" s="4" t="s">
        <v>462</v>
      </c>
      <c r="AM3" s="4" t="s">
        <v>343</v>
      </c>
    </row>
    <row r="4">
      <c r="A4" s="15">
        <v>1</v>
      </c>
      <c r="B4">
        <v>4.5267574698597475</v>
      </c>
      <c r="L4">
        <f t="shared" ref="L4:L9" si="613">B4</f>
        <v>4.5267574698597501</v>
      </c>
      <c r="P4">
        <f>SUMSQ(N6:N103)</f>
        <v>98.440741354225395</v>
      </c>
      <c r="X4">
        <f t="shared" ref="X4:X8" si="614">B5</f>
        <v>6.8933707775124997</v>
      </c>
      <c r="Y4">
        <f t="shared" ref="Y4:Y9" si="615">B4</f>
        <v>4.5267574698597501</v>
      </c>
      <c r="Z4">
        <f t="shared" ref="Z4:Z7" si="616">B6</f>
        <v>8.4253951175675805</v>
      </c>
      <c r="AK4" t="e">
        <v>#NAME?</v>
      </c>
      <c r="AL4" t="e">
        <v>#NAME?</v>
      </c>
      <c r="AM4" t="e">
        <v>#NAME?</v>
      </c>
    </row>
    <row r="5">
      <c r="A5" s="15">
        <f t="shared" ref="A5:A10" si="617">A4+1</f>
        <v>2</v>
      </c>
      <c r="B5">
        <v>6.893370777512497</v>
      </c>
      <c r="L5">
        <f t="shared" si="613"/>
        <v>6.8933707775124997</v>
      </c>
      <c r="X5">
        <f t="shared" si="614"/>
        <v>8.4253951175675805</v>
      </c>
      <c r="Y5">
        <f t="shared" si="615"/>
        <v>6.8933707775124997</v>
      </c>
      <c r="Z5">
        <f t="shared" si="616"/>
        <v>6.9995020869889997</v>
      </c>
      <c r="AB5" s="49" t="s">
        <v>371</v>
      </c>
      <c r="AC5" s="49"/>
      <c r="AE5" s="49"/>
      <c r="AF5" s="49"/>
      <c r="AK5" t="e">
        <v>#NAME?</v>
      </c>
      <c r="AL5" t="e">
        <v>#NAME?</v>
      </c>
      <c r="AM5" t="e">
        <v>#NAME?</v>
      </c>
    </row>
    <row r="6">
      <c r="A6" s="15">
        <f t="shared" si="617"/>
        <v>3</v>
      </c>
      <c r="B6">
        <v>8.4253951175675805</v>
      </c>
      <c r="D6" s="5">
        <v>1</v>
      </c>
      <c r="E6" s="42">
        <f t="shared" ref="E6:E10" si="618">B5</f>
        <v>6.8933707775124997</v>
      </c>
      <c r="F6" s="6">
        <f t="shared" ref="F6:F11" si="619">B4</f>
        <v>4.5267574698597501</v>
      </c>
      <c r="H6" s="7">
        <f t="shared" ref="H6:H9" si="620">B6</f>
        <v>8.4253951175675805</v>
      </c>
      <c r="J6" s="7">
        <f t="array" ref="J6:J8">MMULT(MINVERSE(MMULT(TRANSPOSE(D6:F103),D6:F103)),MMULT(TRANSPOSE(D6:F103),H6:H103))</f>
        <v>5.0109466210840603</v>
      </c>
      <c r="L6">
        <f t="shared" si="613"/>
        <v>8.4253951175675805</v>
      </c>
      <c r="M6">
        <f t="shared" ref="M6:M10" si="621">J$6+L5*J$7+L4*J$8</f>
        <v>7.4236069480725204</v>
      </c>
      <c r="N6">
        <f t="shared" ref="N6:N9" si="622">L6-M6</f>
        <v>1.0017881694950601</v>
      </c>
      <c r="P6" s="4" t="s">
        <v>444</v>
      </c>
      <c r="X6">
        <f t="shared" si="614"/>
        <v>6.9995020869889997</v>
      </c>
      <c r="Y6">
        <f t="shared" si="615"/>
        <v>8.4253951175675805</v>
      </c>
      <c r="Z6">
        <f t="shared" si="616"/>
        <v>6.1875941616300798</v>
      </c>
      <c r="AB6" t="s">
        <v>373</v>
      </c>
      <c r="AC6" t="e">
        <f>SQRT(AC7)</f>
        <v>#NAME?</v>
      </c>
      <c r="AE6" t="s">
        <v>374</v>
      </c>
      <c r="AF6" t="e">
        <f>AC10*LN(AD15/AC10)+2*(AC14+1)</f>
        <v>#NAME?</v>
      </c>
      <c r="AK6" t="e">
        <v>#NAME?</v>
      </c>
      <c r="AL6" t="e">
        <v>#NAME?</v>
      </c>
      <c r="AM6" t="e">
        <v>#NAME?</v>
      </c>
    </row>
    <row r="7">
      <c r="A7" s="15">
        <f t="shared" si="617"/>
        <v>4</v>
      </c>
      <c r="B7">
        <v>6.999502086988997</v>
      </c>
      <c r="D7" s="8">
        <v>1</v>
      </c>
      <c r="E7">
        <f t="shared" si="618"/>
        <v>8.4253951175675805</v>
      </c>
      <c r="F7" s="9">
        <f t="shared" si="619"/>
        <v>6.8933707775124997</v>
      </c>
      <c r="H7" s="10">
        <f t="shared" si="620"/>
        <v>6.9995020869889997</v>
      </c>
      <c r="J7" s="10">
        <f/>
        <v>0.45406332809976402</v>
      </c>
      <c r="L7">
        <f t="shared" si="613"/>
        <v>6.9995020869889997</v>
      </c>
      <c r="M7">
        <f t="shared" si="621"/>
        <v>7.7441999033107596</v>
      </c>
      <c r="N7">
        <f t="shared" si="622"/>
        <v>-0.74469781632176002</v>
      </c>
      <c r="P7">
        <f>AVERAGE(N6:N103)</f>
        <v>1.3184464857742422e-14</v>
      </c>
      <c r="X7">
        <f t="shared" si="614"/>
        <v>6.1875941616300798</v>
      </c>
      <c r="Y7">
        <f t="shared" si="615"/>
        <v>6.9995020869889997</v>
      </c>
      <c r="Z7">
        <f t="shared" si="616"/>
        <v>5.8129764708798204</v>
      </c>
      <c r="AB7" t="s">
        <v>375</v>
      </c>
      <c r="AC7" t="e">
        <f>AD14/AD16</f>
        <v>#NAME?</v>
      </c>
      <c r="AE7" t="s">
        <v>376</v>
      </c>
      <c r="AF7" t="e">
        <f>AF6+2*(AC14+2)*(AC14+3)/(AC10-AC14-3)</f>
        <v>#NAME?</v>
      </c>
      <c r="AK7" t="e">
        <v>#NAME?</v>
      </c>
      <c r="AL7" t="e">
        <v>#NAME?</v>
      </c>
      <c r="AM7" t="e">
        <v>#NAME?</v>
      </c>
    </row>
    <row r="8">
      <c r="A8" s="15">
        <f t="shared" si="617"/>
        <v>5</v>
      </c>
      <c r="B8">
        <v>6.1875941616300816</v>
      </c>
      <c r="D8" s="8">
        <v>1</v>
      </c>
      <c r="E8">
        <f t="shared" si="618"/>
        <v>6.9995020869889997</v>
      </c>
      <c r="F8" s="9">
        <f t="shared" si="619"/>
        <v>8.4253951175675805</v>
      </c>
      <c r="H8" s="10">
        <f t="shared" si="620"/>
        <v>6.1875941616300798</v>
      </c>
      <c r="J8" s="13">
        <f/>
        <v>-0.158472494904117</v>
      </c>
      <c r="L8">
        <f t="shared" si="613"/>
        <v>6.1875941616300798</v>
      </c>
      <c r="M8">
        <f t="shared" si="621"/>
        <v>6.8539704489096298</v>
      </c>
      <c r="N8">
        <f t="shared" si="622"/>
        <v>-0.66637628727955001</v>
      </c>
      <c r="X8">
        <f t="shared" si="614"/>
        <v>5.8129764708798204</v>
      </c>
      <c r="Y8">
        <f t="shared" si="615"/>
        <v>6.1875941616300798</v>
      </c>
      <c r="Z8">
        <f t="shared" ref="Z8:Z71" si="623">B10</f>
        <v>7.1200726875188396</v>
      </c>
      <c r="AB8" t="s">
        <v>378</v>
      </c>
      <c r="AC8" t="e">
        <f>1-(1-AC7)*(AC10-1)/(AC10-AC14-1)</f>
        <v>#NAME?</v>
      </c>
      <c r="AE8" s="14" t="s">
        <v>395</v>
      </c>
      <c r="AF8" s="14" t="e">
        <f>AC10*LN(AD15/AC10)+(AC14+1)*LN(AC10)</f>
        <v>#NAME?</v>
      </c>
      <c r="AK8" t="e">
        <v>#NAME?</v>
      </c>
      <c r="AL8" t="e">
        <v>#NAME?</v>
      </c>
      <c r="AM8" t="e">
        <v>#NAME?</v>
      </c>
    </row>
    <row r="9">
      <c r="A9" s="15">
        <f t="shared" si="617"/>
        <v>6</v>
      </c>
      <c r="B9">
        <v>5.8129764708798231</v>
      </c>
      <c r="D9" s="8">
        <v>1</v>
      </c>
      <c r="E9">
        <f t="shared" si="618"/>
        <v>6.1875941616300798</v>
      </c>
      <c r="F9" s="9">
        <f t="shared" si="619"/>
        <v>6.9995020869889997</v>
      </c>
      <c r="H9" s="10">
        <f t="shared" si="620"/>
        <v>5.8129764708798204</v>
      </c>
      <c r="L9">
        <f t="shared" si="613"/>
        <v>5.8129764708798204</v>
      </c>
      <c r="M9">
        <f t="shared" si="621"/>
        <v>6.71127766023276</v>
      </c>
      <c r="N9">
        <f t="shared" si="622"/>
        <v>-0.89830118935294012</v>
      </c>
      <c r="P9" s="4" t="s">
        <v>445</v>
      </c>
      <c r="X9">
        <f t="shared" ref="X9:X72" si="624">B10</f>
        <v>7.1200726875188396</v>
      </c>
      <c r="Y9">
        <f t="shared" si="615"/>
        <v>5.8129764708798204</v>
      </c>
      <c r="Z9">
        <f t="shared" si="623"/>
        <v>8.5019149332741097</v>
      </c>
      <c r="AB9" t="s">
        <v>381</v>
      </c>
      <c r="AC9" t="e">
        <f>SQRT(AE15)</f>
        <v>#NAME?</v>
      </c>
      <c r="AK9" t="e">
        <v>#NAME?</v>
      </c>
      <c r="AL9" t="e">
        <v>#NAME?</v>
      </c>
      <c r="AM9" t="e">
        <v>#NAME?</v>
      </c>
    </row>
    <row r="10">
      <c r="A10" s="15">
        <f t="shared" si="617"/>
        <v>7</v>
      </c>
      <c r="B10">
        <v>7.1200726875188378</v>
      </c>
      <c r="D10" s="8">
        <v>1</v>
      </c>
      <c r="E10">
        <f t="shared" si="618"/>
        <v>5.8129764708798204</v>
      </c>
      <c r="F10" s="9">
        <f t="shared" si="619"/>
        <v>6.1875941616300798</v>
      </c>
      <c r="H10" s="10">
        <f t="shared" ref="H10:H73" si="625">B10</f>
        <v>7.1200726875188396</v>
      </c>
      <c r="L10">
        <f t="shared" ref="L10:L73" si="626">B10</f>
        <v>7.1200726875188396</v>
      </c>
      <c r="M10">
        <f t="shared" si="621"/>
        <v>6.6698425793696998</v>
      </c>
      <c r="N10">
        <f t="shared" ref="N10:N73" si="627">L10-M10</f>
        <v>0.45023010814913994</v>
      </c>
      <c r="P10">
        <f>VAR(N6:N103)</f>
        <v>1.01485300365181</v>
      </c>
      <c r="X10">
        <f t="shared" si="624"/>
        <v>8.5019149332741097</v>
      </c>
      <c r="Y10">
        <f t="shared" ref="Y10:Y73" si="628">B10</f>
        <v>7.1200726875188396</v>
      </c>
      <c r="Z10">
        <f t="shared" si="623"/>
        <v>7.3012221051820596</v>
      </c>
      <c r="AB10" s="14" t="s">
        <v>383</v>
      </c>
      <c r="AC10" s="14">
        <f>COUNT(Z4:Z101)</f>
        <v>98</v>
      </c>
      <c r="AK10" t="e">
        <v>#NAME?</v>
      </c>
      <c r="AL10" t="e">
        <v>#NAME?</v>
      </c>
      <c r="AM10" t="e">
        <v>#NAME?</v>
      </c>
    </row>
    <row r="11">
      <c r="A11" s="15">
        <f t="shared" ref="A11:A74" si="629">A10+1</f>
        <v>8</v>
      </c>
      <c r="B11">
        <v>8.5019149332741044</v>
      </c>
      <c r="D11" s="8">
        <v>1</v>
      </c>
      <c r="E11">
        <f t="shared" ref="E11:E74" si="630">B10</f>
        <v>7.1200726875188396</v>
      </c>
      <c r="F11" s="9">
        <f t="shared" si="619"/>
        <v>5.8129764708798204</v>
      </c>
      <c r="H11" s="10">
        <f t="shared" si="625"/>
        <v>8.5019149332741097</v>
      </c>
      <c r="L11">
        <f t="shared" si="626"/>
        <v>8.5019149332741097</v>
      </c>
      <c r="M11">
        <f>J$6+L10*J$7+L9*J$8</f>
        <v>7.3227136377318498</v>
      </c>
      <c r="N11">
        <f t="shared" si="627"/>
        <v>1.1792012955422599</v>
      </c>
      <c r="X11">
        <f t="shared" si="624"/>
        <v>7.3012221051820596</v>
      </c>
      <c r="Y11">
        <f t="shared" si="628"/>
        <v>8.5019149332741097</v>
      </c>
      <c r="Z11">
        <f t="shared" si="623"/>
        <v>6.0388768293832698</v>
      </c>
      <c r="AK11" t="e">
        <v>#NAME?</v>
      </c>
      <c r="AL11" t="e">
        <v>#NAME?</v>
      </c>
      <c r="AM11" t="e">
        <v>#NAME?</v>
      </c>
    </row>
    <row r="12">
      <c r="A12" s="15">
        <f t="shared" si="629"/>
        <v>9</v>
      </c>
      <c r="B12">
        <v>7.3012221051820605</v>
      </c>
      <c r="D12" s="8">
        <v>1</v>
      </c>
      <c r="E12">
        <f t="shared" si="630"/>
        <v>8.5019149332741097</v>
      </c>
      <c r="F12" s="9">
        <f t="shared" ref="F12:F75" si="631">B10</f>
        <v>7.1200726875188396</v>
      </c>
      <c r="H12" s="10">
        <f t="shared" si="625"/>
        <v>7.3012221051820596</v>
      </c>
      <c r="L12">
        <f t="shared" si="626"/>
        <v>7.3012221051820596</v>
      </c>
      <c r="M12">
        <f t="shared" ref="M12:M75" si="632">J$6+L11*J$7+L10*J$8</f>
        <v>7.7430187282178196</v>
      </c>
      <c r="N12">
        <f t="shared" si="627"/>
        <v>-0.44179662303576006</v>
      </c>
      <c r="X12">
        <f t="shared" si="624"/>
        <v>6.0388768293832698</v>
      </c>
      <c r="Y12">
        <f t="shared" si="628"/>
        <v>7.3012221051820596</v>
      </c>
      <c r="Z12">
        <f t="shared" si="623"/>
        <v>4.7460896891377899</v>
      </c>
      <c r="AB12" t="s">
        <v>384</v>
      </c>
      <c r="AF12" s="15" t="s">
        <v>385</v>
      </c>
      <c r="AG12" s="15">
        <v>5.0000000000000003e-02</v>
      </c>
      <c r="AK12" t="e">
        <v>#NAME?</v>
      </c>
      <c r="AL12" t="e">
        <v>#NAME?</v>
      </c>
      <c r="AM12" t="e">
        <v>#NAME?</v>
      </c>
    </row>
    <row r="13">
      <c r="A13" s="15">
        <f t="shared" si="629"/>
        <v>10</v>
      </c>
      <c r="B13">
        <v>6.0388768293832715</v>
      </c>
      <c r="D13" s="8">
        <v>1</v>
      </c>
      <c r="E13">
        <f t="shared" si="630"/>
        <v>7.3012221051820596</v>
      </c>
      <c r="F13" s="9">
        <f t="shared" si="631"/>
        <v>8.5019149332741097</v>
      </c>
      <c r="H13" s="10">
        <f t="shared" si="625"/>
        <v>6.0388768293832698</v>
      </c>
      <c r="L13">
        <f t="shared" si="626"/>
        <v>6.0388768293832698</v>
      </c>
      <c r="M13">
        <f t="shared" si="632"/>
        <v>6.9788441584200704</v>
      </c>
      <c r="N13">
        <f t="shared" si="627"/>
        <v>-0.93996732903680102</v>
      </c>
      <c r="X13">
        <f t="shared" si="624"/>
        <v>4.7460896891377899</v>
      </c>
      <c r="Y13">
        <f t="shared" si="628"/>
        <v>6.0388768293832698</v>
      </c>
      <c r="Z13">
        <f t="shared" si="623"/>
        <v>6.6536767183588399</v>
      </c>
      <c r="AB13" s="24"/>
      <c r="AC13" s="24" t="s">
        <v>294</v>
      </c>
      <c r="AD13" s="24" t="s">
        <v>386</v>
      </c>
      <c r="AE13" s="24" t="s">
        <v>387</v>
      </c>
      <c r="AF13" s="24" t="s">
        <v>388</v>
      </c>
      <c r="AG13" s="24" t="s">
        <v>189</v>
      </c>
      <c r="AH13" s="24" t="s">
        <v>204</v>
      </c>
      <c r="AK13" t="e">
        <v>#NAME?</v>
      </c>
      <c r="AL13" t="e">
        <v>#NAME?</v>
      </c>
      <c r="AM13" t="e">
        <v>#NAME?</v>
      </c>
    </row>
    <row r="14">
      <c r="A14" s="15">
        <f t="shared" si="629"/>
        <v>11</v>
      </c>
      <c r="B14">
        <v>4.7460896891377891</v>
      </c>
      <c r="D14" s="8">
        <v>1</v>
      </c>
      <c r="E14">
        <f t="shared" si="630"/>
        <v>6.0388768293832698</v>
      </c>
      <c r="F14" s="9">
        <f t="shared" si="631"/>
        <v>7.3012221051820596</v>
      </c>
      <c r="H14" s="10">
        <f t="shared" si="625"/>
        <v>4.7460896891377899</v>
      </c>
      <c r="L14">
        <f t="shared" si="626"/>
        <v>4.7460896891377899</v>
      </c>
      <c r="M14">
        <f t="shared" si="632"/>
        <v>6.59593624936109</v>
      </c>
      <c r="N14">
        <f t="shared" si="627"/>
        <v>-1.8498465602233001</v>
      </c>
      <c r="X14">
        <f t="shared" si="624"/>
        <v>6.6536767183588399</v>
      </c>
      <c r="Y14">
        <f t="shared" si="628"/>
        <v>4.7460896891377899</v>
      </c>
      <c r="Z14">
        <f t="shared" si="623"/>
        <v>8.1939759194869595</v>
      </c>
      <c r="AB14" t="s">
        <v>389</v>
      </c>
      <c r="AC14">
        <f>COUNT(X4:Y4)</f>
        <v>2</v>
      </c>
      <c r="AD14" t="e">
        <v>#NAME?</v>
      </c>
      <c r="AE14" t="e">
        <f t="shared" ref="AE14:AE15" si="633">AD14/AC14</f>
        <v>#NAME?</v>
      </c>
      <c r="AF14" t="e">
        <f>AE14/AE15</f>
        <v>#NAME?</v>
      </c>
      <c r="AG14" t="e">
        <f>FDIST(AF14,AC14,AC15)</f>
        <v>#NAME?</v>
      </c>
      <c r="AH14" s="15" t="e">
        <f>IF(AG14&lt;AG12,"yes","no")</f>
        <v>#NAME?</v>
      </c>
      <c r="AK14" t="e">
        <v>#NAME?</v>
      </c>
      <c r="AL14" t="e">
        <v>#NAME?</v>
      </c>
      <c r="AM14" t="e">
        <v>#NAME?</v>
      </c>
    </row>
    <row r="15">
      <c r="A15" s="15">
        <f t="shared" si="629"/>
        <v>12</v>
      </c>
      <c r="B15">
        <v>6.6536767183588417</v>
      </c>
      <c r="D15" s="8">
        <v>1</v>
      </c>
      <c r="E15">
        <f t="shared" si="630"/>
        <v>4.7460896891377899</v>
      </c>
      <c r="F15" s="9">
        <f t="shared" si="631"/>
        <v>6.0388768293832698</v>
      </c>
      <c r="H15" s="10">
        <f t="shared" si="625"/>
        <v>6.6536767183588399</v>
      </c>
      <c r="L15">
        <f t="shared" si="626"/>
        <v>6.6536767183588399</v>
      </c>
      <c r="M15">
        <f t="shared" si="632"/>
        <v>6.2089760232229096</v>
      </c>
      <c r="N15">
        <f t="shared" si="627"/>
        <v>0.44470069513593008</v>
      </c>
      <c r="X15">
        <f t="shared" si="624"/>
        <v>8.1939759194869595</v>
      </c>
      <c r="Y15">
        <f t="shared" si="628"/>
        <v>6.6536767183588399</v>
      </c>
      <c r="Z15">
        <f t="shared" si="623"/>
        <v>7.5602635334693504</v>
      </c>
      <c r="AB15" t="s">
        <v>342</v>
      </c>
      <c r="AC15">
        <f>AC16-AC14</f>
        <v>95</v>
      </c>
      <c r="AD15" t="e">
        <f>AD16-AD14</f>
        <v>#NAME?</v>
      </c>
      <c r="AE15" t="e">
        <f t="shared" si="633"/>
        <v>#NAME?</v>
      </c>
      <c r="AK15" t="e">
        <v>#NAME?</v>
      </c>
      <c r="AL15" t="e">
        <v>#NAME?</v>
      </c>
      <c r="AM15" t="e">
        <v>#NAME?</v>
      </c>
    </row>
    <row r="16">
      <c r="A16" s="15">
        <f t="shared" si="629"/>
        <v>13</v>
      </c>
      <c r="B16">
        <v>8.1939759194869559</v>
      </c>
      <c r="D16" s="8">
        <v>1</v>
      </c>
      <c r="E16">
        <f t="shared" si="630"/>
        <v>6.6536767183588399</v>
      </c>
      <c r="F16" s="9">
        <f t="shared" si="631"/>
        <v>4.7460896891377899</v>
      </c>
      <c r="H16" s="10">
        <f t="shared" si="625"/>
        <v>8.1939759194869595</v>
      </c>
      <c r="L16">
        <f t="shared" si="626"/>
        <v>8.1939759194869595</v>
      </c>
      <c r="M16">
        <f t="shared" si="632"/>
        <v>7.2800125418456201</v>
      </c>
      <c r="N16">
        <f t="shared" si="627"/>
        <v>0.91396337764133995</v>
      </c>
      <c r="X16">
        <f t="shared" si="624"/>
        <v>7.5602635334693504</v>
      </c>
      <c r="Y16">
        <f t="shared" si="628"/>
        <v>8.1939759194869595</v>
      </c>
      <c r="Z16">
        <f t="shared" si="623"/>
        <v>6.7944512971362103</v>
      </c>
      <c r="AB16" s="14" t="s">
        <v>390</v>
      </c>
      <c r="AC16" s="14">
        <f>AC10-1</f>
        <v>97</v>
      </c>
      <c r="AD16" s="14">
        <f>DEVSQ(Z4:Z101)</f>
        <v>118.963637557409</v>
      </c>
      <c r="AE16" s="14"/>
      <c r="AF16" s="14"/>
      <c r="AG16" s="14"/>
      <c r="AH16" s="14"/>
      <c r="AK16" t="e">
        <v>#NAME?</v>
      </c>
      <c r="AL16" t="e">
        <v>#NAME?</v>
      </c>
      <c r="AM16" t="e">
        <v>#NAME?</v>
      </c>
    </row>
    <row r="17">
      <c r="A17" s="15">
        <f t="shared" si="629"/>
        <v>14</v>
      </c>
      <c r="B17">
        <v>7.5602635334693442</v>
      </c>
      <c r="D17" s="8">
        <v>1</v>
      </c>
      <c r="E17">
        <f t="shared" si="630"/>
        <v>8.1939759194869595</v>
      </c>
      <c r="F17" s="9">
        <f t="shared" si="631"/>
        <v>6.6536767183588399</v>
      </c>
      <c r="H17" s="10">
        <f t="shared" si="625"/>
        <v>7.5602635334693504</v>
      </c>
      <c r="L17">
        <f t="shared" si="626"/>
        <v>7.5602635334693504</v>
      </c>
      <c r="M17">
        <f t="shared" si="632"/>
        <v>7.6771058476118696</v>
      </c>
      <c r="N17">
        <f t="shared" si="627"/>
        <v>-0.116842314142519</v>
      </c>
      <c r="X17">
        <f t="shared" si="624"/>
        <v>6.7944512971362103</v>
      </c>
      <c r="Y17">
        <f t="shared" si="628"/>
        <v>7.5602635334693504</v>
      </c>
      <c r="Z17">
        <f t="shared" si="623"/>
        <v>4.7244665351583901</v>
      </c>
      <c r="AK17" t="e">
        <v>#NAME?</v>
      </c>
      <c r="AL17" t="e">
        <v>#NAME?</v>
      </c>
      <c r="AM17" t="e">
        <v>#NAME?</v>
      </c>
    </row>
    <row r="18">
      <c r="A18" s="15">
        <f t="shared" si="629"/>
        <v>15</v>
      </c>
      <c r="B18">
        <v>6.794451297136205</v>
      </c>
      <c r="D18" s="8">
        <v>1</v>
      </c>
      <c r="E18">
        <f t="shared" si="630"/>
        <v>7.5602635334693504</v>
      </c>
      <c r="F18" s="9">
        <f t="shared" si="631"/>
        <v>8.1939759194869595</v>
      </c>
      <c r="H18" s="10">
        <f t="shared" si="625"/>
        <v>6.7944512971362103</v>
      </c>
      <c r="L18">
        <f t="shared" si="626"/>
        <v>6.7944512971362103</v>
      </c>
      <c r="M18">
        <f t="shared" si="632"/>
        <v>7.1452652352570896</v>
      </c>
      <c r="N18">
        <f t="shared" si="627"/>
        <v>-0.35081393812087902</v>
      </c>
      <c r="X18">
        <f t="shared" si="624"/>
        <v>4.7244665351583901</v>
      </c>
      <c r="Y18">
        <f t="shared" si="628"/>
        <v>6.7944512971362103</v>
      </c>
      <c r="Z18">
        <f t="shared" si="623"/>
        <v>6.0271551265385801</v>
      </c>
      <c r="AB18" s="24"/>
      <c r="AC18" s="24" t="s">
        <v>391</v>
      </c>
      <c r="AD18" s="24" t="s">
        <v>392</v>
      </c>
      <c r="AE18" s="24" t="s">
        <v>393</v>
      </c>
      <c r="AF18" s="24" t="s">
        <v>189</v>
      </c>
      <c r="AG18" s="24" t="s">
        <v>215</v>
      </c>
      <c r="AH18" s="24" t="s">
        <v>216</v>
      </c>
      <c r="AI18" s="24" t="s">
        <v>397</v>
      </c>
      <c r="AK18" t="e">
        <v>#NAME?</v>
      </c>
      <c r="AL18" t="e">
        <v>#NAME?</v>
      </c>
      <c r="AM18" t="e">
        <v>#NAME?</v>
      </c>
    </row>
    <row r="19">
      <c r="A19" s="15">
        <f t="shared" si="629"/>
        <v>16</v>
      </c>
      <c r="B19">
        <v>4.7244665351583874</v>
      </c>
      <c r="D19" s="8">
        <v>1</v>
      </c>
      <c r="E19">
        <f t="shared" si="630"/>
        <v>6.7944512971362103</v>
      </c>
      <c r="F19" s="9">
        <f t="shared" si="631"/>
        <v>7.5602635334693504</v>
      </c>
      <c r="H19" s="10">
        <f t="shared" si="625"/>
        <v>4.7244665351583901</v>
      </c>
      <c r="L19">
        <f t="shared" si="626"/>
        <v>4.7244665351583901</v>
      </c>
      <c r="M19">
        <f t="shared" si="632"/>
        <v>6.8979639653919902</v>
      </c>
      <c r="N19">
        <f t="shared" si="627"/>
        <v>-2.1734974302336001</v>
      </c>
      <c r="X19">
        <f t="shared" si="624"/>
        <v>6.0271551265385801</v>
      </c>
      <c r="Y19">
        <f t="shared" si="628"/>
        <v>4.7244665351583901</v>
      </c>
      <c r="Z19">
        <f t="shared" si="623"/>
        <v>7.1259100258620904</v>
      </c>
      <c r="AB19" t="s">
        <v>396</v>
      </c>
      <c r="AC19" t="e">
        <v>#NAME?</v>
      </c>
      <c r="AD19" t="e">
        <v>#NAME?</v>
      </c>
      <c r="AE19" t="e">
        <f t="shared" ref="AE19:AE21" si="634">AC19/AD19</f>
        <v>#NAME?</v>
      </c>
      <c r="AF19" t="e">
        <f t="shared" ref="AF19:AF21" si="635">TDIST(ABS(AE19),$AC$15,2)</f>
        <v>#NAME?</v>
      </c>
      <c r="AG19" t="e">
        <f t="shared" ref="AG19:AG21" si="636">AC19-TINV(AG$12,$AC$15)*AD19</f>
        <v>#NAME?</v>
      </c>
      <c r="AH19" t="e">
        <f t="shared" ref="AH19:AH21" si="637">AC19+TINV(AG$12,$AC$15)*AD19</f>
        <v>#NAME?</v>
      </c>
      <c r="AK19" t="e">
        <v>#NAME?</v>
      </c>
      <c r="AL19" t="e">
        <v>#NAME?</v>
      </c>
      <c r="AM19" t="e">
        <v>#NAME?</v>
      </c>
    </row>
    <row r="20">
      <c r="A20" s="15">
        <f t="shared" si="629"/>
        <v>17</v>
      </c>
      <c r="B20">
        <v>6.0271551265385801</v>
      </c>
      <c r="D20" s="8">
        <v>1</v>
      </c>
      <c r="E20">
        <f t="shared" si="630"/>
        <v>4.7244665351583901</v>
      </c>
      <c r="F20" s="9">
        <f t="shared" si="631"/>
        <v>6.7944512971362103</v>
      </c>
      <c r="H20" s="10">
        <f t="shared" si="625"/>
        <v>6.0271551265385801</v>
      </c>
      <c r="L20">
        <f t="shared" si="626"/>
        <v>6.0271551265385801</v>
      </c>
      <c r="M20">
        <f t="shared" si="632"/>
        <v>6.0794199709723502</v>
      </c>
      <c r="N20">
        <f t="shared" si="627"/>
        <v>-5.2264844433770004e-02</v>
      </c>
      <c r="X20">
        <f t="shared" si="624"/>
        <v>7.1259100258620904</v>
      </c>
      <c r="Y20">
        <f t="shared" si="628"/>
        <v>6.0271551265385801</v>
      </c>
      <c r="Z20">
        <f t="shared" si="623"/>
        <v>7.1912478294921502</v>
      </c>
      <c r="AB20" t="str">
        <f t="array" ref="AB20:AB21">TRANSPOSE(X3:Y3)</f>
        <v>X1</v>
      </c>
      <c r="AC20" t="e">
        <v>#NAME?</v>
      </c>
      <c r="AD20" t="e">
        <v>#NAME?</v>
      </c>
      <c r="AE20" t="e">
        <f t="shared" si="634"/>
        <v>#NAME?</v>
      </c>
      <c r="AF20" t="e">
        <f t="shared" si="635"/>
        <v>#NAME?</v>
      </c>
      <c r="AG20" t="e">
        <f t="shared" si="636"/>
        <v>#NAME?</v>
      </c>
      <c r="AH20" t="e">
        <f t="shared" si="637"/>
        <v>#NAME?</v>
      </c>
      <c r="AI20" t="e">
        <v>#NAME?</v>
      </c>
      <c r="AK20" t="e">
        <v>#NAME?</v>
      </c>
      <c r="AL20" t="e">
        <v>#NAME?</v>
      </c>
      <c r="AM20" t="e">
        <v>#NAME?</v>
      </c>
    </row>
    <row r="21">
      <c r="A21" s="15">
        <f t="shared" si="629"/>
        <v>18</v>
      </c>
      <c r="B21">
        <v>7.1259100258620851</v>
      </c>
      <c r="D21" s="8">
        <v>1</v>
      </c>
      <c r="E21">
        <f t="shared" si="630"/>
        <v>6.0271551265385801</v>
      </c>
      <c r="F21" s="9">
        <f t="shared" si="631"/>
        <v>4.7244665351583901</v>
      </c>
      <c r="H21" s="10">
        <f t="shared" si="625"/>
        <v>7.1259100258620904</v>
      </c>
      <c r="L21">
        <f t="shared" si="626"/>
        <v>7.1259100258620904</v>
      </c>
      <c r="M21">
        <f t="shared" si="632"/>
        <v>6.9989587378961602</v>
      </c>
      <c r="N21">
        <f t="shared" si="627"/>
        <v>0.12695128796593</v>
      </c>
      <c r="X21">
        <f t="shared" si="624"/>
        <v>7.1912478294921502</v>
      </c>
      <c r="Y21">
        <f t="shared" si="628"/>
        <v>7.1259100258620904</v>
      </c>
      <c r="Z21">
        <f t="shared" si="623"/>
        <v>6.6826916383449904</v>
      </c>
      <c r="AB21" s="14" t="str">
        <f/>
        <v>X2</v>
      </c>
      <c r="AC21" s="14" t="e">
        <v>#NAME?</v>
      </c>
      <c r="AD21" s="14" t="e">
        <v>#NAME?</v>
      </c>
      <c r="AE21" s="14" t="e">
        <f t="shared" si="634"/>
        <v>#NAME?</v>
      </c>
      <c r="AF21" s="14" t="e">
        <f t="shared" si="635"/>
        <v>#NAME?</v>
      </c>
      <c r="AG21" s="14" t="e">
        <f t="shared" si="636"/>
        <v>#NAME?</v>
      </c>
      <c r="AH21" s="14" t="e">
        <f t="shared" si="637"/>
        <v>#NAME?</v>
      </c>
      <c r="AI21" s="14" t="e">
        <v>#NAME?</v>
      </c>
      <c r="AK21" t="e">
        <v>#NAME?</v>
      </c>
      <c r="AL21" t="e">
        <v>#NAME?</v>
      </c>
      <c r="AM21" t="e">
        <v>#NAME?</v>
      </c>
    </row>
    <row r="22">
      <c r="A22" s="15">
        <f t="shared" si="629"/>
        <v>19</v>
      </c>
      <c r="B22">
        <v>7.191247829492152</v>
      </c>
      <c r="D22" s="8">
        <v>1</v>
      </c>
      <c r="E22">
        <f t="shared" si="630"/>
        <v>7.1259100258620904</v>
      </c>
      <c r="F22" s="9">
        <f t="shared" si="631"/>
        <v>6.0271551265385801</v>
      </c>
      <c r="H22" s="10">
        <f t="shared" si="625"/>
        <v>7.1912478294921502</v>
      </c>
      <c r="L22">
        <f t="shared" si="626"/>
        <v>7.1912478294921502</v>
      </c>
      <c r="M22">
        <f t="shared" si="632"/>
        <v>7.2914227330897701</v>
      </c>
      <c r="N22">
        <f t="shared" si="627"/>
        <v>-0.10017490359762</v>
      </c>
      <c r="X22">
        <f t="shared" si="624"/>
        <v>6.6826916383449904</v>
      </c>
      <c r="Y22">
        <f t="shared" si="628"/>
        <v>7.1912478294921502</v>
      </c>
      <c r="Z22">
        <f t="shared" si="623"/>
        <v>6.5721571230019</v>
      </c>
      <c r="AK22" t="e">
        <v>#NAME?</v>
      </c>
      <c r="AL22" t="e">
        <v>#NAME?</v>
      </c>
      <c r="AM22" t="e">
        <v>#NAME?</v>
      </c>
    </row>
    <row r="23">
      <c r="A23" s="15">
        <f t="shared" si="629"/>
        <v>20</v>
      </c>
      <c r="B23">
        <v>6.6826916383449886</v>
      </c>
      <c r="D23" s="8">
        <v>1</v>
      </c>
      <c r="E23">
        <f t="shared" si="630"/>
        <v>7.1912478294921502</v>
      </c>
      <c r="F23" s="9">
        <f t="shared" si="631"/>
        <v>7.1259100258620904</v>
      </c>
      <c r="H23" s="10">
        <f t="shared" si="625"/>
        <v>6.6826916383449904</v>
      </c>
      <c r="L23">
        <f t="shared" si="626"/>
        <v>6.6826916383449904</v>
      </c>
      <c r="M23">
        <f t="shared" si="632"/>
        <v>7.1469678034728403</v>
      </c>
      <c r="N23">
        <f t="shared" si="627"/>
        <v>-0.46427616512785008</v>
      </c>
      <c r="X23">
        <f t="shared" si="624"/>
        <v>6.5721571230019</v>
      </c>
      <c r="Y23">
        <f t="shared" si="628"/>
        <v>6.6826916383449904</v>
      </c>
      <c r="Z23">
        <f t="shared" si="623"/>
        <v>6.7527389135024798</v>
      </c>
      <c r="AK23" t="e">
        <v>#NAME?</v>
      </c>
      <c r="AL23" t="e">
        <v>#NAME?</v>
      </c>
      <c r="AM23" t="e">
        <v>#NAME?</v>
      </c>
    </row>
    <row r="24">
      <c r="A24" s="15">
        <f t="shared" si="629"/>
        <v>21</v>
      </c>
      <c r="B24">
        <v>6.5721571230018956</v>
      </c>
      <c r="D24" s="8">
        <v>1</v>
      </c>
      <c r="E24">
        <f t="shared" si="630"/>
        <v>6.6826916383449904</v>
      </c>
      <c r="F24" s="9">
        <f t="shared" si="631"/>
        <v>7.1912478294921502</v>
      </c>
      <c r="H24" s="10">
        <f t="shared" si="625"/>
        <v>6.5721571230019</v>
      </c>
      <c r="L24">
        <f t="shared" si="626"/>
        <v>6.5721571230019</v>
      </c>
      <c r="M24">
        <f t="shared" si="632"/>
        <v>6.9056968420420102</v>
      </c>
      <c r="N24">
        <f t="shared" si="627"/>
        <v>-0.33353971904010998</v>
      </c>
      <c r="X24">
        <f t="shared" si="624"/>
        <v>6.7527389135024798</v>
      </c>
      <c r="Y24">
        <f t="shared" si="628"/>
        <v>6.5721571230019</v>
      </c>
      <c r="Z24">
        <f t="shared" si="623"/>
        <v>5.6474000535444802</v>
      </c>
      <c r="AK24" t="e">
        <v>#NAME?</v>
      </c>
      <c r="AL24" t="e">
        <v>#NAME?</v>
      </c>
      <c r="AM24" t="e">
        <v>#NAME?</v>
      </c>
    </row>
    <row r="25" ht="15" customHeight="1">
      <c r="A25" s="15">
        <f t="shared" si="629"/>
        <v>22</v>
      </c>
      <c r="B25">
        <v>6.7527389135024771</v>
      </c>
      <c r="D25" s="8">
        <v>1</v>
      </c>
      <c r="E25">
        <f t="shared" si="630"/>
        <v>6.5721571230019</v>
      </c>
      <c r="F25" s="9">
        <f t="shared" si="631"/>
        <v>6.6826916383449904</v>
      </c>
      <c r="H25" s="10">
        <f t="shared" si="625"/>
        <v>6.7527389135024798</v>
      </c>
      <c r="L25">
        <f t="shared" si="626"/>
        <v>6.7527389135024798</v>
      </c>
      <c r="M25">
        <f t="shared" si="632"/>
        <v>6.9360993405454598</v>
      </c>
      <c r="N25">
        <f t="shared" si="627"/>
        <v>-0.18336042704298003</v>
      </c>
      <c r="X25">
        <f t="shared" si="624"/>
        <v>5.6474000535444802</v>
      </c>
      <c r="Y25">
        <f t="shared" si="628"/>
        <v>6.7527389135024798</v>
      </c>
      <c r="Z25">
        <f t="shared" si="623"/>
        <v>6.4773690041962997</v>
      </c>
      <c r="AK25" t="e">
        <v>#NAME?</v>
      </c>
      <c r="AL25" t="e">
        <v>#NAME?</v>
      </c>
      <c r="AM25" t="e">
        <v>#NAME?</v>
      </c>
    </row>
    <row r="26">
      <c r="A26" s="15">
        <f t="shared" si="629"/>
        <v>23</v>
      </c>
      <c r="B26">
        <v>5.6474000535444784</v>
      </c>
      <c r="D26" s="8">
        <v>1</v>
      </c>
      <c r="E26">
        <f t="shared" si="630"/>
        <v>6.7527389135024798</v>
      </c>
      <c r="F26" s="9">
        <f t="shared" si="631"/>
        <v>6.5721571230019</v>
      </c>
      <c r="H26" s="10">
        <f t="shared" si="625"/>
        <v>5.6474000535444802</v>
      </c>
      <c r="L26">
        <f t="shared" si="626"/>
        <v>5.6474000535444802</v>
      </c>
      <c r="M26">
        <f t="shared" si="632"/>
        <v>7.0356115897537999</v>
      </c>
      <c r="N26">
        <f t="shared" si="627"/>
        <v>-1.3882115362093199</v>
      </c>
      <c r="X26">
        <f t="shared" si="624"/>
        <v>6.4773690041962997</v>
      </c>
      <c r="Y26">
        <f t="shared" si="628"/>
        <v>5.6474000535444802</v>
      </c>
      <c r="Z26">
        <f t="shared" si="623"/>
        <v>7.2903737384173599</v>
      </c>
      <c r="AK26" t="e">
        <v>#NAME?</v>
      </c>
      <c r="AL26" t="e">
        <v>#NAME?</v>
      </c>
      <c r="AM26" t="e">
        <v>#NAME?</v>
      </c>
    </row>
    <row r="27">
      <c r="A27" s="15">
        <f t="shared" si="629"/>
        <v>24</v>
      </c>
      <c r="B27">
        <v>6.4773690041963032</v>
      </c>
      <c r="D27" s="8">
        <v>1</v>
      </c>
      <c r="E27">
        <f t="shared" si="630"/>
        <v>5.6474000535444802</v>
      </c>
      <c r="F27" s="9">
        <f t="shared" si="631"/>
        <v>6.7527389135024798</v>
      </c>
      <c r="H27" s="10">
        <f t="shared" si="625"/>
        <v>6.4773690041962997</v>
      </c>
      <c r="L27">
        <f t="shared" si="626"/>
        <v>6.4773690041962997</v>
      </c>
      <c r="M27">
        <f t="shared" si="632"/>
        <v>6.5051005014483998</v>
      </c>
      <c r="N27">
        <f t="shared" si="627"/>
        <v>-2.7731497252100001e-02</v>
      </c>
      <c r="X27">
        <f t="shared" si="624"/>
        <v>7.2903737384173599</v>
      </c>
      <c r="Y27">
        <f t="shared" si="628"/>
        <v>6.4773690041962997</v>
      </c>
      <c r="Z27">
        <f t="shared" si="623"/>
        <v>7.8305066981653404</v>
      </c>
      <c r="AK27" t="e">
        <v>#NAME?</v>
      </c>
      <c r="AL27" t="e">
        <v>#NAME?</v>
      </c>
      <c r="AM27" t="e">
        <v>#NAME?</v>
      </c>
    </row>
    <row r="28">
      <c r="A28" s="15">
        <f t="shared" si="629"/>
        <v>25</v>
      </c>
      <c r="B28">
        <v>7.2903737384173564</v>
      </c>
      <c r="D28" s="8">
        <v>1</v>
      </c>
      <c r="E28">
        <f t="shared" si="630"/>
        <v>6.4773690041962997</v>
      </c>
      <c r="F28" s="9">
        <f t="shared" si="631"/>
        <v>5.6474000535444802</v>
      </c>
      <c r="H28" s="10">
        <f t="shared" si="625"/>
        <v>7.2903737384173599</v>
      </c>
      <c r="L28">
        <f t="shared" si="626"/>
        <v>7.2903737384173599</v>
      </c>
      <c r="M28">
        <f t="shared" si="632"/>
        <v>7.0571247722528501</v>
      </c>
      <c r="N28">
        <f t="shared" si="627"/>
        <v>0.23324896616450999</v>
      </c>
      <c r="X28">
        <f t="shared" si="624"/>
        <v>7.8305066981653404</v>
      </c>
      <c r="Y28">
        <f t="shared" si="628"/>
        <v>7.2903737384173599</v>
      </c>
      <c r="Z28">
        <f t="shared" si="623"/>
        <v>7.7526829582134704</v>
      </c>
      <c r="AK28" t="e">
        <v>#NAME?</v>
      </c>
      <c r="AL28" t="e">
        <v>#NAME?</v>
      </c>
      <c r="AM28" t="e">
        <v>#NAME?</v>
      </c>
    </row>
    <row r="29">
      <c r="A29" s="15">
        <f t="shared" si="629"/>
        <v>26</v>
      </c>
      <c r="B29">
        <v>7.8305066981653439</v>
      </c>
      <c r="D29" s="8">
        <v>1</v>
      </c>
      <c r="E29">
        <f t="shared" si="630"/>
        <v>7.2903737384173599</v>
      </c>
      <c r="F29" s="9">
        <f t="shared" si="631"/>
        <v>6.4773690041962997</v>
      </c>
      <c r="H29" s="10">
        <f t="shared" si="625"/>
        <v>7.8305066981653404</v>
      </c>
      <c r="L29">
        <f t="shared" si="626"/>
        <v>7.8305066981653404</v>
      </c>
      <c r="M29">
        <f t="shared" si="632"/>
        <v>7.2947531573313897</v>
      </c>
      <c r="N29">
        <f t="shared" si="627"/>
        <v>0.53575354083395099</v>
      </c>
      <c r="X29">
        <f t="shared" si="624"/>
        <v>7.7526829582134704</v>
      </c>
      <c r="Y29">
        <f t="shared" si="628"/>
        <v>7.8305066981653404</v>
      </c>
      <c r="Z29">
        <f t="shared" si="623"/>
        <v>5.8983792321319299</v>
      </c>
      <c r="AK29" t="e">
        <v>#NAME?</v>
      </c>
      <c r="AL29" t="e">
        <v>#NAME?</v>
      </c>
      <c r="AM29" t="e">
        <v>#NAME?</v>
      </c>
    </row>
    <row r="30">
      <c r="A30" s="15">
        <f t="shared" si="629"/>
        <v>27</v>
      </c>
      <c r="B30">
        <v>7.7526829582134669</v>
      </c>
      <c r="D30" s="8">
        <v>1</v>
      </c>
      <c r="E30">
        <f t="shared" si="630"/>
        <v>7.8305066981653404</v>
      </c>
      <c r="F30" s="9">
        <f t="shared" si="631"/>
        <v>7.2903737384173599</v>
      </c>
      <c r="H30" s="10">
        <f t="shared" si="625"/>
        <v>7.7526829582134704</v>
      </c>
      <c r="L30">
        <f t="shared" si="626"/>
        <v>7.7526829582134704</v>
      </c>
      <c r="M30">
        <f t="shared" si="632"/>
        <v>7.4111688380500604</v>
      </c>
      <c r="N30">
        <f t="shared" si="627"/>
        <v>0.34151412016340998</v>
      </c>
      <c r="X30">
        <f t="shared" si="624"/>
        <v>5.8983792321319299</v>
      </c>
      <c r="Y30">
        <f t="shared" si="628"/>
        <v>7.7526829582134704</v>
      </c>
      <c r="Z30">
        <f t="shared" si="623"/>
        <v>6.9970102225736204</v>
      </c>
      <c r="AK30" t="e">
        <v>#NAME?</v>
      </c>
      <c r="AL30" t="e">
        <v>#NAME?</v>
      </c>
      <c r="AM30" t="e">
        <v>#NAME?</v>
      </c>
    </row>
    <row r="31">
      <c r="A31" s="15">
        <f t="shared" si="629"/>
        <v>28</v>
      </c>
      <c r="B31">
        <v>5.8983792321319326</v>
      </c>
      <c r="D31" s="8">
        <v>1</v>
      </c>
      <c r="E31">
        <f t="shared" si="630"/>
        <v>7.7526829582134704</v>
      </c>
      <c r="F31" s="9">
        <f t="shared" si="631"/>
        <v>7.8305066981653404</v>
      </c>
      <c r="H31" s="10">
        <f t="shared" si="625"/>
        <v>5.8983792321319299</v>
      </c>
      <c r="L31">
        <f t="shared" si="626"/>
        <v>5.8983792321319299</v>
      </c>
      <c r="M31">
        <f t="shared" si="632"/>
        <v>7.2902357139711302</v>
      </c>
      <c r="N31">
        <f t="shared" si="627"/>
        <v>-1.3918564818392001</v>
      </c>
      <c r="X31">
        <f t="shared" si="624"/>
        <v>6.9970102225736204</v>
      </c>
      <c r="Y31">
        <f t="shared" si="628"/>
        <v>5.8983792321319299</v>
      </c>
      <c r="Z31">
        <f t="shared" si="623"/>
        <v>7.5670361691232699</v>
      </c>
      <c r="AK31" t="e">
        <v>#NAME?</v>
      </c>
      <c r="AL31" t="e">
        <v>#NAME?</v>
      </c>
      <c r="AM31" t="e">
        <v>#NAME?</v>
      </c>
    </row>
    <row r="32">
      <c r="A32" s="15">
        <f t="shared" si="629"/>
        <v>29</v>
      </c>
      <c r="B32">
        <v>6.9970102225736142</v>
      </c>
      <c r="D32" s="8">
        <v>1</v>
      </c>
      <c r="E32">
        <f t="shared" si="630"/>
        <v>5.8983792321319299</v>
      </c>
      <c r="F32" s="9">
        <f t="shared" si="631"/>
        <v>7.7526829582134704</v>
      </c>
      <c r="H32" s="10">
        <f t="shared" si="625"/>
        <v>6.9970102225736204</v>
      </c>
      <c r="L32">
        <f t="shared" si="626"/>
        <v>6.9970102225736204</v>
      </c>
      <c r="M32">
        <f t="shared" si="632"/>
        <v>6.4605973150317002</v>
      </c>
      <c r="N32">
        <f t="shared" si="627"/>
        <v>0.53641290754191995</v>
      </c>
      <c r="X32">
        <f t="shared" si="624"/>
        <v>7.5670361691232699</v>
      </c>
      <c r="Y32">
        <f t="shared" si="628"/>
        <v>6.9970102225736204</v>
      </c>
      <c r="Z32">
        <f t="shared" si="623"/>
        <v>5.9325823975209202</v>
      </c>
      <c r="AK32" t="e">
        <v>#NAME?</v>
      </c>
      <c r="AL32" t="e">
        <v>#NAME?</v>
      </c>
      <c r="AM32" t="e">
        <v>#NAME?</v>
      </c>
    </row>
    <row r="33">
      <c r="A33" s="15">
        <f t="shared" si="629"/>
        <v>30</v>
      </c>
      <c r="B33">
        <v>7.5670361691232708</v>
      </c>
      <c r="D33" s="8">
        <v>1</v>
      </c>
      <c r="E33">
        <f t="shared" si="630"/>
        <v>6.9970102225736204</v>
      </c>
      <c r="F33" s="9">
        <f t="shared" si="631"/>
        <v>5.8983792321319299</v>
      </c>
      <c r="H33" s="10">
        <f t="shared" si="625"/>
        <v>7.5670361691232699</v>
      </c>
      <c r="L33">
        <f t="shared" si="626"/>
        <v>7.5670361691232699</v>
      </c>
      <c r="M33">
        <f t="shared" si="632"/>
        <v>7.2533014966873299</v>
      </c>
      <c r="N33">
        <f t="shared" si="627"/>
        <v>0.31373467243594</v>
      </c>
      <c r="X33">
        <f t="shared" si="624"/>
        <v>5.9325823975209202</v>
      </c>
      <c r="Y33">
        <f t="shared" si="628"/>
        <v>7.5670361691232699</v>
      </c>
      <c r="Z33">
        <f t="shared" si="623"/>
        <v>6.2716739845100298</v>
      </c>
      <c r="AK33" t="e">
        <v>#NAME?</v>
      </c>
      <c r="AL33" t="e">
        <v>#NAME?</v>
      </c>
      <c r="AM33" t="e">
        <v>#NAME?</v>
      </c>
    </row>
    <row r="34">
      <c r="A34" s="15">
        <f t="shared" si="629"/>
        <v>31</v>
      </c>
      <c r="B34">
        <v>5.9325823975209193</v>
      </c>
      <c r="D34" s="8">
        <v>1</v>
      </c>
      <c r="E34">
        <f t="shared" si="630"/>
        <v>7.5670361691232699</v>
      </c>
      <c r="F34" s="9">
        <f t="shared" si="631"/>
        <v>6.9970102225736204</v>
      </c>
      <c r="H34" s="10">
        <f t="shared" si="625"/>
        <v>5.9325823975209202</v>
      </c>
      <c r="L34">
        <f t="shared" si="626"/>
        <v>5.9325823975209202</v>
      </c>
      <c r="M34">
        <f t="shared" si="632"/>
        <v>7.3380265810466101</v>
      </c>
      <c r="N34">
        <f t="shared" si="627"/>
        <v>-1.4054441835256899</v>
      </c>
      <c r="X34">
        <f t="shared" si="624"/>
        <v>6.2716739845100298</v>
      </c>
      <c r="Y34">
        <f t="shared" si="628"/>
        <v>5.9325823975209202</v>
      </c>
      <c r="Z34">
        <f t="shared" si="623"/>
        <v>7.5927373959870099</v>
      </c>
      <c r="AK34" t="e">
        <v>#NAME?</v>
      </c>
      <c r="AL34" t="e">
        <v>#NAME?</v>
      </c>
      <c r="AM34" t="e">
        <v>#NAME?</v>
      </c>
    </row>
    <row r="35">
      <c r="A35" s="15">
        <f t="shared" si="629"/>
        <v>32</v>
      </c>
      <c r="B35">
        <v>6.2716739845100316</v>
      </c>
      <c r="D35" s="8">
        <v>1</v>
      </c>
      <c r="E35">
        <f t="shared" si="630"/>
        <v>5.9325823975209202</v>
      </c>
      <c r="F35" s="9">
        <f t="shared" si="631"/>
        <v>7.5670361691232699</v>
      </c>
      <c r="H35" s="10">
        <f t="shared" si="625"/>
        <v>6.2716739845100298</v>
      </c>
      <c r="L35">
        <f t="shared" si="626"/>
        <v>6.2716739845100298</v>
      </c>
      <c r="M35">
        <f t="shared" si="632"/>
        <v>6.5055476279778297</v>
      </c>
      <c r="N35">
        <f t="shared" si="627"/>
        <v>-0.23387364346780001</v>
      </c>
      <c r="X35">
        <f t="shared" si="624"/>
        <v>7.5927373959870099</v>
      </c>
      <c r="Y35">
        <f t="shared" si="628"/>
        <v>6.2716739845100298</v>
      </c>
      <c r="Z35">
        <f t="shared" si="623"/>
        <v>7.0772059138076404</v>
      </c>
      <c r="AK35" t="e">
        <v>#NAME?</v>
      </c>
      <c r="AL35" t="e">
        <v>#NAME?</v>
      </c>
      <c r="AM35" t="e">
        <v>#NAME?</v>
      </c>
    </row>
    <row r="36">
      <c r="A36" s="15">
        <f t="shared" si="629"/>
        <v>33</v>
      </c>
      <c r="B36">
        <v>7.5927373959870108</v>
      </c>
      <c r="D36" s="8">
        <v>1</v>
      </c>
      <c r="E36">
        <f t="shared" si="630"/>
        <v>6.2716739845100298</v>
      </c>
      <c r="F36" s="9">
        <f t="shared" si="631"/>
        <v>5.9325823975209202</v>
      </c>
      <c r="H36" s="10">
        <f t="shared" si="625"/>
        <v>7.5927373959870099</v>
      </c>
      <c r="L36">
        <f t="shared" si="626"/>
        <v>7.5927373959870099</v>
      </c>
      <c r="M36">
        <f t="shared" si="632"/>
        <v>6.9185326494880002</v>
      </c>
      <c r="N36">
        <f t="shared" si="627"/>
        <v>0.67420474649900997</v>
      </c>
      <c r="X36">
        <f t="shared" si="624"/>
        <v>7.0772059138076404</v>
      </c>
      <c r="Y36">
        <f t="shared" si="628"/>
        <v>7.5927373959870099</v>
      </c>
      <c r="Z36">
        <f t="shared" si="623"/>
        <v>7.2335411603542896</v>
      </c>
      <c r="AK36" t="e">
        <v>#NAME?</v>
      </c>
      <c r="AL36" t="e">
        <v>#NAME?</v>
      </c>
      <c r="AM36" t="e">
        <v>#NAME?</v>
      </c>
    </row>
    <row r="37">
      <c r="A37" s="15">
        <f t="shared" si="629"/>
        <v>34</v>
      </c>
      <c r="B37">
        <v>7.0772059138076351</v>
      </c>
      <c r="D37" s="8">
        <v>1</v>
      </c>
      <c r="E37">
        <f t="shared" si="630"/>
        <v>7.5927373959870099</v>
      </c>
      <c r="F37" s="9">
        <f t="shared" si="631"/>
        <v>6.2716739845100298</v>
      </c>
      <c r="H37" s="10">
        <f t="shared" si="625"/>
        <v>7.0772059138076404</v>
      </c>
      <c r="L37">
        <f t="shared" si="626"/>
        <v>7.0772059138076404</v>
      </c>
      <c r="M37">
        <f t="shared" si="632"/>
        <v>7.4646424089429102</v>
      </c>
      <c r="N37">
        <f t="shared" si="627"/>
        <v>-0.38743649513527001</v>
      </c>
      <c r="X37">
        <f t="shared" si="624"/>
        <v>7.2335411603542896</v>
      </c>
      <c r="Y37">
        <f t="shared" si="628"/>
        <v>7.0772059138076404</v>
      </c>
      <c r="Z37">
        <f t="shared" si="623"/>
        <v>9.2815947650948001</v>
      </c>
      <c r="AK37" t="e">
        <v>#NAME?</v>
      </c>
      <c r="AL37" t="e">
        <v>#NAME?</v>
      </c>
      <c r="AM37" t="e">
        <v>#NAME?</v>
      </c>
    </row>
    <row r="38">
      <c r="A38" s="15">
        <f t="shared" si="629"/>
        <v>35</v>
      </c>
      <c r="B38">
        <v>7.2335411603542896</v>
      </c>
      <c r="D38" s="8">
        <v>1</v>
      </c>
      <c r="E38">
        <f t="shared" si="630"/>
        <v>7.0772059138076404</v>
      </c>
      <c r="F38" s="9">
        <f t="shared" si="631"/>
        <v>7.5927373959870099</v>
      </c>
      <c r="H38" s="10">
        <f t="shared" si="625"/>
        <v>7.2335411603542896</v>
      </c>
      <c r="L38">
        <f t="shared" si="626"/>
        <v>7.2335411603542896</v>
      </c>
      <c r="M38">
        <f t="shared" si="632"/>
        <v>7.02120625366104</v>
      </c>
      <c r="N38">
        <f t="shared" si="627"/>
        <v>0.21233490669325</v>
      </c>
      <c r="X38">
        <f t="shared" si="624"/>
        <v>9.2815947650948001</v>
      </c>
      <c r="Y38">
        <f t="shared" si="628"/>
        <v>7.2335411603542896</v>
      </c>
      <c r="Z38">
        <f t="shared" si="623"/>
        <v>8.1261550928644297</v>
      </c>
      <c r="AK38" t="e">
        <v>#NAME?</v>
      </c>
      <c r="AL38" t="e">
        <v>#NAME?</v>
      </c>
      <c r="AM38" t="e">
        <v>#NAME?</v>
      </c>
    </row>
    <row r="39">
      <c r="A39" s="15">
        <f t="shared" si="629"/>
        <v>36</v>
      </c>
      <c r="B39">
        <v>9.2815947650947983</v>
      </c>
      <c r="D39" s="8">
        <v>1</v>
      </c>
      <c r="E39">
        <f t="shared" si="630"/>
        <v>7.2335411603542896</v>
      </c>
      <c r="F39" s="9">
        <f t="shared" si="631"/>
        <v>7.0772059138076404</v>
      </c>
      <c r="H39" s="10">
        <f t="shared" si="625"/>
        <v>9.2815947650948001</v>
      </c>
      <c r="L39">
        <f t="shared" si="626"/>
        <v>9.2815947650948001</v>
      </c>
      <c r="M39">
        <f t="shared" si="632"/>
        <v>7.1738899161898901</v>
      </c>
      <c r="N39">
        <f t="shared" si="627"/>
        <v>2.1077048489049099</v>
      </c>
      <c r="X39">
        <f t="shared" si="624"/>
        <v>8.1261550928644297</v>
      </c>
      <c r="Y39">
        <f t="shared" si="628"/>
        <v>9.2815947650948001</v>
      </c>
      <c r="Z39">
        <f t="shared" si="623"/>
        <v>7.4739429418675796</v>
      </c>
      <c r="AK39" t="e">
        <v>#NAME?</v>
      </c>
      <c r="AL39" t="e">
        <v>#NAME?</v>
      </c>
      <c r="AM39" t="e">
        <v>#NAME?</v>
      </c>
    </row>
    <row r="40">
      <c r="A40" s="15">
        <f t="shared" si="629"/>
        <v>37</v>
      </c>
      <c r="B40">
        <v>8.1261550928644244</v>
      </c>
      <c r="D40" s="8">
        <v>1</v>
      </c>
      <c r="E40">
        <f t="shared" si="630"/>
        <v>9.2815947650948001</v>
      </c>
      <c r="F40" s="9">
        <f t="shared" si="631"/>
        <v>7.2335411603542896</v>
      </c>
      <c r="H40" s="10">
        <f t="shared" si="625"/>
        <v>8.1261550928644297</v>
      </c>
      <c r="L40">
        <f t="shared" si="626"/>
        <v>8.1261550928644297</v>
      </c>
      <c r="M40">
        <f t="shared" si="632"/>
        <v>8.0790611155233805</v>
      </c>
      <c r="N40">
        <f t="shared" si="627"/>
        <v>4.7093977341048997e-02</v>
      </c>
      <c r="X40">
        <f t="shared" si="624"/>
        <v>7.4739429418675796</v>
      </c>
      <c r="Y40">
        <f t="shared" si="628"/>
        <v>8.1261550928644297</v>
      </c>
      <c r="Z40">
        <f t="shared" si="623"/>
        <v>5.8482842063827398</v>
      </c>
      <c r="AK40" t="e">
        <v>#NAME?</v>
      </c>
      <c r="AL40" t="e">
        <v>#NAME?</v>
      </c>
      <c r="AM40" t="e">
        <v>#NAME?</v>
      </c>
    </row>
    <row r="41">
      <c r="A41" s="15">
        <f t="shared" si="629"/>
        <v>38</v>
      </c>
      <c r="B41">
        <v>7.4739429418675778</v>
      </c>
      <c r="D41" s="8">
        <v>1</v>
      </c>
      <c r="E41">
        <f t="shared" si="630"/>
        <v>8.1261550928644297</v>
      </c>
      <c r="F41" s="9">
        <f t="shared" si="631"/>
        <v>9.2815947650948001</v>
      </c>
      <c r="H41" s="10">
        <f t="shared" si="625"/>
        <v>7.4739429418675796</v>
      </c>
      <c r="L41">
        <f t="shared" si="626"/>
        <v>7.4739429418675796</v>
      </c>
      <c r="M41">
        <f t="shared" si="632"/>
        <v>7.2298581680913703</v>
      </c>
      <c r="N41">
        <f t="shared" si="627"/>
        <v>0.24408477377620899</v>
      </c>
      <c r="X41">
        <f t="shared" si="624"/>
        <v>5.8482842063827398</v>
      </c>
      <c r="Y41">
        <f t="shared" si="628"/>
        <v>7.4739429418675796</v>
      </c>
      <c r="Z41">
        <f t="shared" si="623"/>
        <v>4.9087410222113901</v>
      </c>
      <c r="AK41" t="e">
        <v>#NAME?</v>
      </c>
      <c r="AL41" t="e">
        <v>#NAME?</v>
      </c>
      <c r="AM41" t="e">
        <v>#NAME?</v>
      </c>
    </row>
    <row r="42">
      <c r="A42" s="15">
        <f t="shared" si="629"/>
        <v>39</v>
      </c>
      <c r="B42">
        <v>5.8482842063827354</v>
      </c>
      <c r="D42" s="8">
        <v>1</v>
      </c>
      <c r="E42">
        <f t="shared" si="630"/>
        <v>7.4739429418675796</v>
      </c>
      <c r="F42" s="9">
        <f t="shared" si="631"/>
        <v>8.1261550928644297</v>
      </c>
      <c r="H42" s="10">
        <f t="shared" si="625"/>
        <v>5.8482842063827398</v>
      </c>
      <c r="L42">
        <f t="shared" si="626"/>
        <v>5.8482842063827398</v>
      </c>
      <c r="M42">
        <f t="shared" si="632"/>
        <v>7.11681795575217</v>
      </c>
      <c r="N42">
        <f t="shared" si="627"/>
        <v>-1.26853374936943</v>
      </c>
      <c r="X42">
        <f t="shared" si="624"/>
        <v>4.9087410222113901</v>
      </c>
      <c r="Y42">
        <f t="shared" si="628"/>
        <v>5.8482842063827398</v>
      </c>
      <c r="Z42">
        <f t="shared" si="623"/>
        <v>8.5560009883684103</v>
      </c>
      <c r="AK42" t="e">
        <v>#NAME?</v>
      </c>
      <c r="AL42" t="e">
        <v>#NAME?</v>
      </c>
      <c r="AM42" t="e">
        <v>#NAME?</v>
      </c>
    </row>
    <row r="43">
      <c r="A43" s="15">
        <f t="shared" si="629"/>
        <v>40</v>
      </c>
      <c r="B43">
        <v>4.9087410222113919</v>
      </c>
      <c r="D43" s="8">
        <v>1</v>
      </c>
      <c r="E43">
        <f t="shared" si="630"/>
        <v>5.8482842063827398</v>
      </c>
      <c r="F43" s="9">
        <f t="shared" si="631"/>
        <v>7.4739429418675796</v>
      </c>
      <c r="H43" s="10">
        <f t="shared" si="625"/>
        <v>4.9087410222113901</v>
      </c>
      <c r="L43">
        <f t="shared" si="626"/>
        <v>4.9087410222113901</v>
      </c>
      <c r="M43">
        <f t="shared" si="632"/>
        <v>6.4820236267387203</v>
      </c>
      <c r="N43">
        <f t="shared" si="627"/>
        <v>-1.57328260452733</v>
      </c>
      <c r="X43">
        <f t="shared" si="624"/>
        <v>8.5560009883684103</v>
      </c>
      <c r="Y43">
        <f t="shared" si="628"/>
        <v>4.9087410222113901</v>
      </c>
      <c r="Z43">
        <f t="shared" si="623"/>
        <v>8.7745309133389409</v>
      </c>
      <c r="AK43" t="e">
        <v>#NAME?</v>
      </c>
      <c r="AL43" t="e">
        <v>#NAME?</v>
      </c>
      <c r="AM43" t="e">
        <v>#NAME?</v>
      </c>
    </row>
    <row r="44">
      <c r="A44" s="15">
        <f t="shared" si="629"/>
        <v>41</v>
      </c>
      <c r="B44">
        <v>8.5560009883684121</v>
      </c>
      <c r="D44" s="8">
        <v>1</v>
      </c>
      <c r="E44">
        <f t="shared" si="630"/>
        <v>4.9087410222113901</v>
      </c>
      <c r="F44" s="9">
        <f t="shared" si="631"/>
        <v>5.8482842063827398</v>
      </c>
      <c r="H44" s="10">
        <f t="shared" si="625"/>
        <v>8.5560009883684103</v>
      </c>
      <c r="L44">
        <f t="shared" si="626"/>
        <v>8.5560009883684103</v>
      </c>
      <c r="M44">
        <f t="shared" si="632"/>
        <v>6.3130337173153803</v>
      </c>
      <c r="N44">
        <f t="shared" si="627"/>
        <v>2.24296727105303</v>
      </c>
      <c r="X44">
        <f t="shared" si="624"/>
        <v>8.7745309133389409</v>
      </c>
      <c r="Y44">
        <f t="shared" si="628"/>
        <v>8.5560009883684103</v>
      </c>
      <c r="Z44">
        <f t="shared" si="623"/>
        <v>7.5376775568876404</v>
      </c>
      <c r="AK44" t="e">
        <v>#NAME?</v>
      </c>
      <c r="AL44" t="e">
        <v>#NAME?</v>
      </c>
      <c r="AM44" t="e">
        <v>#NAME?</v>
      </c>
    </row>
    <row r="45">
      <c r="A45" s="15">
        <f t="shared" si="629"/>
        <v>42</v>
      </c>
      <c r="B45">
        <v>8.7745309133389373</v>
      </c>
      <c r="D45" s="8">
        <v>1</v>
      </c>
      <c r="E45">
        <f t="shared" si="630"/>
        <v>8.5560009883684103</v>
      </c>
      <c r="F45" s="9">
        <f t="shared" si="631"/>
        <v>4.9087410222113901</v>
      </c>
      <c r="H45" s="10">
        <f t="shared" si="625"/>
        <v>8.7745309133389409</v>
      </c>
      <c r="L45">
        <f t="shared" si="626"/>
        <v>8.7745309133389409</v>
      </c>
      <c r="M45">
        <f t="shared" si="632"/>
        <v>8.1180124684594706</v>
      </c>
      <c r="N45">
        <f t="shared" si="627"/>
        <v>0.65651844487946998</v>
      </c>
      <c r="X45">
        <f t="shared" si="624"/>
        <v>7.5376775568876404</v>
      </c>
      <c r="Y45">
        <f t="shared" si="628"/>
        <v>8.7745309133389409</v>
      </c>
      <c r="Z45">
        <f t="shared" si="623"/>
        <v>8.2711357692560892</v>
      </c>
      <c r="AK45" t="e">
        <v>#NAME?</v>
      </c>
      <c r="AL45" t="e">
        <v>#NAME?</v>
      </c>
      <c r="AM45" t="e">
        <v>#NAME?</v>
      </c>
    </row>
    <row r="46">
      <c r="A46" s="15">
        <f t="shared" si="629"/>
        <v>43</v>
      </c>
      <c r="B46">
        <v>7.5376775568876386</v>
      </c>
      <c r="D46" s="8">
        <v>1</v>
      </c>
      <c r="E46">
        <f t="shared" si="630"/>
        <v>8.7745309133389409</v>
      </c>
      <c r="F46" s="9">
        <f t="shared" si="631"/>
        <v>8.5560009883684103</v>
      </c>
      <c r="H46" s="10">
        <f t="shared" si="625"/>
        <v>7.5376775568876404</v>
      </c>
      <c r="L46">
        <f t="shared" si="626"/>
        <v>7.5376775568876404</v>
      </c>
      <c r="M46">
        <f t="shared" si="632"/>
        <v>7.6392485070801701</v>
      </c>
      <c r="N46">
        <f t="shared" si="627"/>
        <v>-0.10157095019253</v>
      </c>
      <c r="X46">
        <f t="shared" si="624"/>
        <v>8.2711357692560892</v>
      </c>
      <c r="Y46">
        <f t="shared" si="628"/>
        <v>7.5376775568876404</v>
      </c>
      <c r="Z46">
        <f t="shared" si="623"/>
        <v>9.6160924400361196</v>
      </c>
      <c r="AK46" t="e">
        <v>#NAME?</v>
      </c>
      <c r="AL46" t="e">
        <v>#NAME?</v>
      </c>
      <c r="AM46" t="e">
        <v>#NAME?</v>
      </c>
    </row>
    <row r="47">
      <c r="A47" s="15">
        <f t="shared" si="629"/>
        <v>44</v>
      </c>
      <c r="B47">
        <v>8.2711357692560838</v>
      </c>
      <c r="D47" s="8">
        <v>1</v>
      </c>
      <c r="E47">
        <f t="shared" si="630"/>
        <v>7.5376775568876404</v>
      </c>
      <c r="F47" s="9">
        <f t="shared" si="631"/>
        <v>8.7745309133389409</v>
      </c>
      <c r="H47" s="10">
        <f t="shared" si="625"/>
        <v>8.2711357692560892</v>
      </c>
      <c r="L47">
        <f t="shared" si="626"/>
        <v>8.2711357692560892</v>
      </c>
      <c r="M47">
        <f t="shared" si="632"/>
        <v>7.0430077732572398</v>
      </c>
      <c r="N47">
        <f t="shared" si="627"/>
        <v>1.22812799599885</v>
      </c>
      <c r="X47">
        <f t="shared" si="624"/>
        <v>9.6160924400361196</v>
      </c>
      <c r="Y47">
        <f t="shared" si="628"/>
        <v>8.2711357692560892</v>
      </c>
      <c r="Z47">
        <f t="shared" si="623"/>
        <v>9.1199492250703198</v>
      </c>
      <c r="AK47" t="e">
        <v>#NAME?</v>
      </c>
      <c r="AL47" t="e">
        <v>#NAME?</v>
      </c>
      <c r="AM47" t="e">
        <v>#NAME?</v>
      </c>
    </row>
    <row r="48">
      <c r="A48" s="15">
        <f t="shared" si="629"/>
        <v>45</v>
      </c>
      <c r="B48">
        <v>9.6160924400361196</v>
      </c>
      <c r="D48" s="8">
        <v>1</v>
      </c>
      <c r="E48">
        <f t="shared" si="630"/>
        <v>8.2711357692560892</v>
      </c>
      <c r="F48" s="9">
        <f t="shared" si="631"/>
        <v>7.5376775568876404</v>
      </c>
      <c r="H48" s="10">
        <f t="shared" si="625"/>
        <v>9.6160924400361196</v>
      </c>
      <c r="L48">
        <f t="shared" si="626"/>
        <v>9.6160924400361196</v>
      </c>
      <c r="M48">
        <f t="shared" si="632"/>
        <v>7.57205148741473</v>
      </c>
      <c r="N48">
        <f t="shared" si="627"/>
        <v>2.0440409526213901</v>
      </c>
      <c r="X48">
        <f t="shared" si="624"/>
        <v>9.1199492250703198</v>
      </c>
      <c r="Y48">
        <f t="shared" si="628"/>
        <v>9.6160924400361196</v>
      </c>
      <c r="Z48">
        <f t="shared" si="623"/>
        <v>7.5739399577802704</v>
      </c>
      <c r="AK48" t="e">
        <v>#NAME?</v>
      </c>
      <c r="AL48" t="e">
        <v>#NAME?</v>
      </c>
      <c r="AM48" t="e">
        <v>#NAME?</v>
      </c>
    </row>
    <row r="49">
      <c r="A49" s="15">
        <f t="shared" si="629"/>
        <v>46</v>
      </c>
      <c r="B49">
        <v>9.1199492250703198</v>
      </c>
      <c r="D49" s="8">
        <v>1</v>
      </c>
      <c r="E49">
        <f t="shared" si="630"/>
        <v>9.6160924400361196</v>
      </c>
      <c r="F49" s="9">
        <f t="shared" si="631"/>
        <v>8.2711357692560892</v>
      </c>
      <c r="H49" s="10">
        <f t="shared" si="625"/>
        <v>9.1199492250703198</v>
      </c>
      <c r="L49">
        <f t="shared" si="626"/>
        <v>9.1199492250703198</v>
      </c>
      <c r="M49">
        <f t="shared" si="632"/>
        <v>8.0665140366771393</v>
      </c>
      <c r="N49">
        <f t="shared" si="627"/>
        <v>1.0534351883931801</v>
      </c>
      <c r="X49">
        <f t="shared" si="624"/>
        <v>7.5739399577802704</v>
      </c>
      <c r="Y49">
        <f t="shared" si="628"/>
        <v>9.1199492250703198</v>
      </c>
      <c r="Z49">
        <f t="shared" si="623"/>
        <v>8.0172610519511398</v>
      </c>
      <c r="AK49" t="e">
        <v>#NAME?</v>
      </c>
      <c r="AL49" t="e">
        <v>#NAME?</v>
      </c>
      <c r="AM49" t="e">
        <v>#NAME?</v>
      </c>
    </row>
    <row r="50">
      <c r="A50" s="15">
        <f t="shared" si="629"/>
        <v>47</v>
      </c>
      <c r="B50">
        <v>7.5739399577802677</v>
      </c>
      <c r="D50" s="8">
        <v>1</v>
      </c>
      <c r="E50">
        <f t="shared" si="630"/>
        <v>9.1199492250703198</v>
      </c>
      <c r="F50" s="9">
        <f t="shared" si="631"/>
        <v>9.6160924400361196</v>
      </c>
      <c r="H50" s="10">
        <f t="shared" si="625"/>
        <v>7.5739399577802704</v>
      </c>
      <c r="L50">
        <f t="shared" si="626"/>
        <v>7.5739399577802704</v>
      </c>
      <c r="M50">
        <f t="shared" si="632"/>
        <v>7.6280949581192097</v>
      </c>
      <c r="N50">
        <f t="shared" si="627"/>
        <v>-5.4155000338938997e-02</v>
      </c>
      <c r="X50">
        <f t="shared" si="624"/>
        <v>8.0172610519511398</v>
      </c>
      <c r="Y50">
        <f t="shared" si="628"/>
        <v>7.5739399577802704</v>
      </c>
      <c r="Z50">
        <f t="shared" si="623"/>
        <v>6.7179685412903396</v>
      </c>
      <c r="AK50" t="e">
        <v>#NAME?</v>
      </c>
      <c r="AL50" t="e">
        <v>#NAME?</v>
      </c>
      <c r="AM50" t="e">
        <v>#NAME?</v>
      </c>
    </row>
    <row r="51">
      <c r="A51" s="15">
        <f t="shared" si="629"/>
        <v>48</v>
      </c>
      <c r="B51">
        <v>8.0172610519511416</v>
      </c>
      <c r="D51" s="8">
        <v>1</v>
      </c>
      <c r="E51">
        <f t="shared" si="630"/>
        <v>7.5739399577802704</v>
      </c>
      <c r="F51" s="9">
        <f t="shared" si="631"/>
        <v>9.1199492250703198</v>
      </c>
      <c r="H51" s="10">
        <f t="shared" si="625"/>
        <v>8.0172610519511398</v>
      </c>
      <c r="L51">
        <f t="shared" si="626"/>
        <v>8.0172610519511398</v>
      </c>
      <c r="M51">
        <f t="shared" si="632"/>
        <v>7.0047338980458003</v>
      </c>
      <c r="N51">
        <f t="shared" si="627"/>
        <v>1.01252715390534</v>
      </c>
      <c r="X51">
        <f t="shared" si="624"/>
        <v>6.7179685412903396</v>
      </c>
      <c r="Y51">
        <f t="shared" si="628"/>
        <v>8.0172610519511398</v>
      </c>
      <c r="Z51">
        <f t="shared" si="623"/>
        <v>7.6314476483008402</v>
      </c>
      <c r="AK51" t="e">
        <v>#NAME?</v>
      </c>
      <c r="AL51" t="e">
        <v>#NAME?</v>
      </c>
      <c r="AM51" t="e">
        <v>#NAME?</v>
      </c>
    </row>
    <row r="52">
      <c r="A52" s="15">
        <f t="shared" si="629"/>
        <v>49</v>
      </c>
      <c r="B52">
        <v>6.7179685412903414</v>
      </c>
      <c r="D52" s="8">
        <v>1</v>
      </c>
      <c r="E52">
        <f t="shared" si="630"/>
        <v>8.0172610519511398</v>
      </c>
      <c r="F52" s="9">
        <f t="shared" si="631"/>
        <v>7.5739399577802704</v>
      </c>
      <c r="H52" s="10">
        <f t="shared" si="625"/>
        <v>6.7179685412903396</v>
      </c>
      <c r="L52">
        <f t="shared" si="626"/>
        <v>6.7179685412903396</v>
      </c>
      <c r="M52">
        <f t="shared" si="632"/>
        <v>7.4510296952141903</v>
      </c>
      <c r="N52">
        <f t="shared" si="627"/>
        <v>-0.73306115392385096</v>
      </c>
      <c r="X52">
        <f t="shared" si="624"/>
        <v>7.6314476483008402</v>
      </c>
      <c r="Y52">
        <f t="shared" si="628"/>
        <v>6.7179685412903396</v>
      </c>
      <c r="Z52">
        <f t="shared" si="623"/>
        <v>6.9543572952914303</v>
      </c>
      <c r="AK52" t="e">
        <v>#NAME?</v>
      </c>
      <c r="AL52" t="e">
        <v>#NAME?</v>
      </c>
      <c r="AM52" t="e">
        <v>#NAME?</v>
      </c>
    </row>
    <row r="53">
      <c r="A53" s="15">
        <f t="shared" si="629"/>
        <v>50</v>
      </c>
      <c r="B53">
        <v>7.6314476483008358</v>
      </c>
      <c r="D53" s="8">
        <v>1</v>
      </c>
      <c r="E53">
        <f t="shared" si="630"/>
        <v>6.7179685412903396</v>
      </c>
      <c r="F53" s="9">
        <f t="shared" si="631"/>
        <v>8.0172610519511398</v>
      </c>
      <c r="H53" s="10">
        <f t="shared" si="625"/>
        <v>7.6314476483008402</v>
      </c>
      <c r="L53">
        <f t="shared" si="626"/>
        <v>7.6314476483008402</v>
      </c>
      <c r="M53">
        <f t="shared" si="632"/>
        <v>6.79081441381157</v>
      </c>
      <c r="N53">
        <f t="shared" si="627"/>
        <v>0.84063323448926996</v>
      </c>
      <c r="X53">
        <f t="shared" si="624"/>
        <v>6.9543572952914303</v>
      </c>
      <c r="Y53">
        <f t="shared" si="628"/>
        <v>7.6314476483008402</v>
      </c>
      <c r="Z53">
        <f t="shared" si="623"/>
        <v>6.6084855817593997</v>
      </c>
      <c r="AK53" t="e">
        <v>#NAME?</v>
      </c>
      <c r="AL53" t="e">
        <v>#NAME?</v>
      </c>
      <c r="AM53" t="e">
        <v>#NAME?</v>
      </c>
    </row>
    <row r="54">
      <c r="A54" s="15">
        <f t="shared" si="629"/>
        <v>51</v>
      </c>
      <c r="B54">
        <v>6.954357295291433</v>
      </c>
      <c r="D54" s="8">
        <v>1</v>
      </c>
      <c r="E54">
        <f t="shared" si="630"/>
        <v>7.6314476483008402</v>
      </c>
      <c r="F54" s="9">
        <f t="shared" si="631"/>
        <v>6.7179685412903396</v>
      </c>
      <c r="H54" s="10">
        <f t="shared" si="625"/>
        <v>6.9543572952914303</v>
      </c>
      <c r="L54">
        <f t="shared" si="626"/>
        <v>6.9543572952914303</v>
      </c>
      <c r="M54">
        <f t="shared" si="632"/>
        <v>7.4114939030650104</v>
      </c>
      <c r="N54">
        <f t="shared" si="627"/>
        <v>-0.45713660777358001</v>
      </c>
      <c r="X54">
        <f t="shared" si="624"/>
        <v>6.6084855817593997</v>
      </c>
      <c r="Y54">
        <f t="shared" si="628"/>
        <v>6.9543572952914303</v>
      </c>
      <c r="Z54">
        <f t="shared" si="623"/>
        <v>6.4501230805655903</v>
      </c>
      <c r="AK54" t="e">
        <v>#NAME?</v>
      </c>
      <c r="AL54" t="e">
        <v>#NAME?</v>
      </c>
      <c r="AM54" t="e">
        <v>#NAME?</v>
      </c>
    </row>
    <row r="55">
      <c r="A55" s="15">
        <f t="shared" si="629"/>
        <v>52</v>
      </c>
      <c r="B55">
        <v>6.6084855817594006</v>
      </c>
      <c r="D55" s="8">
        <v>1</v>
      </c>
      <c r="E55">
        <f t="shared" si="630"/>
        <v>6.9543572952914303</v>
      </c>
      <c r="F55" s="9">
        <f t="shared" si="631"/>
        <v>7.6314476483008402</v>
      </c>
      <c r="H55" s="10">
        <f t="shared" si="625"/>
        <v>6.6084855817593997</v>
      </c>
      <c r="L55">
        <f t="shared" si="626"/>
        <v>6.6084855817593997</v>
      </c>
      <c r="M55">
        <f t="shared" si="632"/>
        <v>6.95929069082257</v>
      </c>
      <c r="N55">
        <f t="shared" si="627"/>
        <v>-0.35080510906316997</v>
      </c>
      <c r="X55">
        <f t="shared" si="624"/>
        <v>6.4501230805655903</v>
      </c>
      <c r="Y55">
        <f t="shared" si="628"/>
        <v>6.6084855817593997</v>
      </c>
      <c r="Z55">
        <f t="shared" si="623"/>
        <v>7.6879119027649701</v>
      </c>
      <c r="AK55" t="e">
        <v>#NAME?</v>
      </c>
      <c r="AL55" t="e">
        <v>#NAME?</v>
      </c>
      <c r="AM55" t="e">
        <v>#NAME?</v>
      </c>
    </row>
    <row r="56">
      <c r="A56" s="15">
        <f t="shared" si="629"/>
        <v>53</v>
      </c>
      <c r="B56">
        <v>6.4501230805655911</v>
      </c>
      <c r="D56" s="8">
        <v>1</v>
      </c>
      <c r="E56">
        <f t="shared" si="630"/>
        <v>6.6084855817593997</v>
      </c>
      <c r="F56" s="9">
        <f t="shared" si="631"/>
        <v>6.9543572952914303</v>
      </c>
      <c r="H56" s="10">
        <f t="shared" si="625"/>
        <v>6.4501230805655903</v>
      </c>
      <c r="L56">
        <f t="shared" si="626"/>
        <v>6.4501230805655903</v>
      </c>
      <c r="M56">
        <f t="shared" si="632"/>
        <v>6.9095432269975596</v>
      </c>
      <c r="N56">
        <f t="shared" si="627"/>
        <v>-0.45942014643196905</v>
      </c>
      <c r="X56">
        <f t="shared" si="624"/>
        <v>7.6879119027649701</v>
      </c>
      <c r="Y56">
        <f t="shared" si="628"/>
        <v>6.4501230805655903</v>
      </c>
      <c r="Z56">
        <f t="shared" si="623"/>
        <v>5.7936182459941499</v>
      </c>
      <c r="AK56" t="e">
        <v>#NAME?</v>
      </c>
      <c r="AL56" t="e">
        <v>#NAME?</v>
      </c>
      <c r="AM56" t="e">
        <v>#NAME?</v>
      </c>
    </row>
    <row r="57">
      <c r="A57" s="15">
        <f t="shared" si="629"/>
        <v>54</v>
      </c>
      <c r="B57">
        <v>7.6879119027649727</v>
      </c>
      <c r="D57" s="8">
        <v>1</v>
      </c>
      <c r="E57">
        <f t="shared" si="630"/>
        <v>6.4501230805655903</v>
      </c>
      <c r="F57" s="9">
        <f t="shared" si="631"/>
        <v>6.6084855817593997</v>
      </c>
      <c r="H57" s="10">
        <f t="shared" si="625"/>
        <v>7.6879119027649701</v>
      </c>
      <c r="L57">
        <f t="shared" si="626"/>
        <v>7.6879119027649701</v>
      </c>
      <c r="M57">
        <f t="shared" si="632"/>
        <v>6.8924477760194698</v>
      </c>
      <c r="N57">
        <f t="shared" si="627"/>
        <v>0.79546412674550004</v>
      </c>
      <c r="X57">
        <f t="shared" si="624"/>
        <v>5.7936182459941499</v>
      </c>
      <c r="Y57">
        <f t="shared" si="628"/>
        <v>7.6879119027649701</v>
      </c>
      <c r="Z57">
        <f t="shared" si="623"/>
        <v>6.5599686446029404</v>
      </c>
      <c r="AK57" t="e">
        <v>#NAME?</v>
      </c>
      <c r="AL57" t="e">
        <v>#NAME?</v>
      </c>
      <c r="AM57" t="e">
        <v>#NAME?</v>
      </c>
    </row>
    <row r="58">
      <c r="A58" s="15">
        <f t="shared" si="629"/>
        <v>55</v>
      </c>
      <c r="B58">
        <v>5.7936182459941481</v>
      </c>
      <c r="D58" s="8">
        <v>1</v>
      </c>
      <c r="E58">
        <f t="shared" si="630"/>
        <v>7.6879119027649701</v>
      </c>
      <c r="F58" s="9">
        <f t="shared" si="631"/>
        <v>6.4501230805655903</v>
      </c>
      <c r="H58" s="10">
        <f t="shared" si="625"/>
        <v>5.7936182459941499</v>
      </c>
      <c r="L58">
        <f t="shared" si="626"/>
        <v>5.7936182459941499</v>
      </c>
      <c r="M58">
        <f t="shared" si="632"/>
        <v>7.4795783887754501</v>
      </c>
      <c r="N58">
        <f t="shared" si="627"/>
        <v>-1.6859601427813</v>
      </c>
      <c r="X58">
        <f t="shared" si="624"/>
        <v>6.5599686446029404</v>
      </c>
      <c r="Y58">
        <f t="shared" si="628"/>
        <v>5.7936182459941499</v>
      </c>
      <c r="Z58">
        <f t="shared" si="623"/>
        <v>8.0502499924422004</v>
      </c>
      <c r="AK58" t="e">
        <v>#NAME?</v>
      </c>
      <c r="AL58" t="e">
        <v>#NAME?</v>
      </c>
      <c r="AM58" t="e">
        <v>#NAME?</v>
      </c>
    </row>
    <row r="59">
      <c r="A59" s="15">
        <f t="shared" si="629"/>
        <v>56</v>
      </c>
      <c r="B59">
        <v>6.5599686446029404</v>
      </c>
      <c r="D59" s="8">
        <v>1</v>
      </c>
      <c r="E59">
        <f t="shared" si="630"/>
        <v>5.7936182459941499</v>
      </c>
      <c r="F59" s="9">
        <f t="shared" si="631"/>
        <v>7.6879119027649701</v>
      </c>
      <c r="H59" s="10">
        <f t="shared" si="625"/>
        <v>6.5599686446029404</v>
      </c>
      <c r="L59">
        <f t="shared" si="626"/>
        <v>6.5599686446029404</v>
      </c>
      <c r="M59">
        <f t="shared" si="632"/>
        <v>6.4232936237654599</v>
      </c>
      <c r="N59">
        <f t="shared" si="627"/>
        <v>0.13667502083748101</v>
      </c>
      <c r="X59">
        <f t="shared" si="624"/>
        <v>8.0502499924422004</v>
      </c>
      <c r="Y59">
        <f t="shared" si="628"/>
        <v>6.5599686446029404</v>
      </c>
      <c r="Z59">
        <f t="shared" si="623"/>
        <v>6.1160642285234896</v>
      </c>
      <c r="AK59" t="e">
        <v>#NAME?</v>
      </c>
      <c r="AL59" t="e">
        <v>#NAME?</v>
      </c>
      <c r="AM59" t="e">
        <v>#NAME?</v>
      </c>
    </row>
    <row r="60">
      <c r="A60" s="15">
        <f t="shared" si="629"/>
        <v>57</v>
      </c>
      <c r="B60">
        <v>8.0502499924421933</v>
      </c>
      <c r="D60" s="8">
        <v>1</v>
      </c>
      <c r="E60">
        <f t="shared" si="630"/>
        <v>6.5599686446029404</v>
      </c>
      <c r="F60" s="9">
        <f t="shared" si="631"/>
        <v>5.7936182459941499</v>
      </c>
      <c r="H60" s="10">
        <f t="shared" si="625"/>
        <v>8.0502499924422004</v>
      </c>
      <c r="L60">
        <f t="shared" si="626"/>
        <v>8.0502499924422004</v>
      </c>
      <c r="M60">
        <f t="shared" si="632"/>
        <v>7.0714586781178603</v>
      </c>
      <c r="N60">
        <f t="shared" si="627"/>
        <v>0.97879131432433986</v>
      </c>
      <c r="X60">
        <f t="shared" si="624"/>
        <v>6.1160642285234896</v>
      </c>
      <c r="Y60">
        <f t="shared" si="628"/>
        <v>8.0502499924422004</v>
      </c>
      <c r="Z60">
        <f t="shared" si="623"/>
        <v>6.7128853872971996</v>
      </c>
      <c r="AK60" t="e">
        <v>#NAME?</v>
      </c>
      <c r="AL60" t="e">
        <v>#NAME?</v>
      </c>
      <c r="AM60" t="e">
        <v>#NAME?</v>
      </c>
    </row>
    <row r="61">
      <c r="A61" s="15">
        <f t="shared" si="629"/>
        <v>58</v>
      </c>
      <c r="B61">
        <v>6.1160642285234905</v>
      </c>
      <c r="D61" s="8">
        <v>1</v>
      </c>
      <c r="E61">
        <f t="shared" si="630"/>
        <v>8.0502499924422004</v>
      </c>
      <c r="F61" s="9">
        <f t="shared" si="631"/>
        <v>6.5599686446029404</v>
      </c>
      <c r="H61" s="10">
        <f t="shared" si="625"/>
        <v>6.1160642285234896</v>
      </c>
      <c r="L61">
        <f t="shared" si="626"/>
        <v>6.1160642285234896</v>
      </c>
      <c r="M61">
        <f t="shared" si="632"/>
        <v>7.6266953270844597</v>
      </c>
      <c r="N61">
        <f t="shared" si="627"/>
        <v>-1.5106310985609701</v>
      </c>
      <c r="X61">
        <f t="shared" si="624"/>
        <v>6.7128853872971996</v>
      </c>
      <c r="Y61">
        <f t="shared" si="628"/>
        <v>6.1160642285234896</v>
      </c>
      <c r="Z61">
        <f t="shared" si="623"/>
        <v>6.9727691577060602</v>
      </c>
      <c r="AK61" t="e">
        <v>#NAME?</v>
      </c>
      <c r="AL61" t="e">
        <v>#NAME?</v>
      </c>
      <c r="AM61" t="e">
        <v>#NAME?</v>
      </c>
    </row>
    <row r="62">
      <c r="A62" s="15">
        <f t="shared" si="629"/>
        <v>59</v>
      </c>
      <c r="B62">
        <v>6.7128853872972023</v>
      </c>
      <c r="D62" s="8">
        <v>1</v>
      </c>
      <c r="E62">
        <f t="shared" si="630"/>
        <v>6.1160642285234896</v>
      </c>
      <c r="F62" s="9">
        <f t="shared" si="631"/>
        <v>8.0502499924422004</v>
      </c>
      <c r="H62" s="10">
        <f t="shared" si="625"/>
        <v>6.7128853872971996</v>
      </c>
      <c r="L62">
        <f t="shared" si="626"/>
        <v>6.7128853872971996</v>
      </c>
      <c r="M62">
        <f t="shared" si="632"/>
        <v>6.5122838986551903</v>
      </c>
      <c r="N62">
        <f t="shared" si="627"/>
        <v>0.20060148864200897</v>
      </c>
      <c r="X62">
        <f t="shared" si="624"/>
        <v>6.9727691577060602</v>
      </c>
      <c r="Y62">
        <f t="shared" si="628"/>
        <v>6.7128853872971996</v>
      </c>
      <c r="Z62">
        <f t="shared" si="623"/>
        <v>5.3921819539773104</v>
      </c>
      <c r="AK62" t="e">
        <v>#NAME?</v>
      </c>
      <c r="AL62" t="e">
        <v>#NAME?</v>
      </c>
      <c r="AM62" t="e">
        <v>#NAME?</v>
      </c>
    </row>
    <row r="63">
      <c r="A63" s="15">
        <f t="shared" si="629"/>
        <v>60</v>
      </c>
      <c r="B63">
        <v>6.972769157706062</v>
      </c>
      <c r="D63" s="8">
        <v>1</v>
      </c>
      <c r="E63">
        <f t="shared" si="630"/>
        <v>6.7128853872971996</v>
      </c>
      <c r="F63" s="9">
        <f t="shared" si="631"/>
        <v>6.1160642285234896</v>
      </c>
      <c r="H63" s="10">
        <f t="shared" si="625"/>
        <v>6.9727691577060602</v>
      </c>
      <c r="L63">
        <f t="shared" si="626"/>
        <v>6.9727691577060602</v>
      </c>
      <c r="M63">
        <f t="shared" si="632"/>
        <v>7.0897937439045604</v>
      </c>
      <c r="N63">
        <f t="shared" si="627"/>
        <v>-0.11702458619850001</v>
      </c>
      <c r="X63">
        <f t="shared" si="624"/>
        <v>5.3921819539773104</v>
      </c>
      <c r="Y63">
        <f t="shared" si="628"/>
        <v>6.9727691577060602</v>
      </c>
      <c r="Z63">
        <f t="shared" si="623"/>
        <v>5.2797035833200203</v>
      </c>
      <c r="AK63" t="e">
        <v>#NAME?</v>
      </c>
      <c r="AL63" t="e">
        <v>#NAME?</v>
      </c>
      <c r="AM63" t="e">
        <v>#NAME?</v>
      </c>
    </row>
    <row r="64">
      <c r="A64" s="15">
        <f t="shared" si="629"/>
        <v>61</v>
      </c>
      <c r="B64">
        <v>5.3921819539773042</v>
      </c>
      <c r="D64" s="8">
        <v>1</v>
      </c>
      <c r="E64">
        <f t="shared" si="630"/>
        <v>6.9727691577060602</v>
      </c>
      <c r="F64" s="9">
        <f t="shared" si="631"/>
        <v>6.7128853872971996</v>
      </c>
      <c r="H64" s="10">
        <f t="shared" si="625"/>
        <v>5.3921819539773104</v>
      </c>
      <c r="L64">
        <f t="shared" si="626"/>
        <v>5.3921819539773104</v>
      </c>
      <c r="M64">
        <f t="shared" si="632"/>
        <v>7.1132176955730797</v>
      </c>
      <c r="N64">
        <f t="shared" si="627"/>
        <v>-1.72103574159577</v>
      </c>
      <c r="X64">
        <f t="shared" si="624"/>
        <v>5.2797035833200203</v>
      </c>
      <c r="Y64">
        <f t="shared" si="628"/>
        <v>5.3921819539773104</v>
      </c>
      <c r="Z64">
        <f t="shared" si="623"/>
        <v>7.4698051304791697</v>
      </c>
      <c r="AK64" t="e">
        <v>#NAME?</v>
      </c>
      <c r="AL64" t="e">
        <v>#NAME?</v>
      </c>
      <c r="AM64" t="e">
        <v>#NAME?</v>
      </c>
    </row>
    <row r="65">
      <c r="A65" s="15">
        <f t="shared" si="629"/>
        <v>62</v>
      </c>
      <c r="B65">
        <v>5.2797035833200177</v>
      </c>
      <c r="D65" s="8">
        <v>1</v>
      </c>
      <c r="E65">
        <f t="shared" si="630"/>
        <v>5.3921819539773104</v>
      </c>
      <c r="F65" s="9">
        <f t="shared" si="631"/>
        <v>6.9727691577060602</v>
      </c>
      <c r="H65" s="10">
        <f t="shared" si="625"/>
        <v>5.2797035833200203</v>
      </c>
      <c r="L65">
        <f t="shared" si="626"/>
        <v>5.2797035833200203</v>
      </c>
      <c r="M65">
        <f t="shared" si="632"/>
        <v>6.3543465800143304</v>
      </c>
      <c r="N65">
        <f t="shared" si="627"/>
        <v>-1.0746429966943101</v>
      </c>
      <c r="X65">
        <f t="shared" si="624"/>
        <v>7.4698051304791697</v>
      </c>
      <c r="Y65">
        <f t="shared" si="628"/>
        <v>5.2797035833200203</v>
      </c>
      <c r="Z65">
        <f t="shared" si="623"/>
        <v>5.3546264732197999</v>
      </c>
      <c r="AK65" t="e">
        <v>#NAME?</v>
      </c>
      <c r="AL65" t="e">
        <v>#NAME?</v>
      </c>
      <c r="AM65" t="e">
        <v>#NAME?</v>
      </c>
    </row>
    <row r="66">
      <c r="A66" s="15">
        <f t="shared" si="629"/>
        <v>63</v>
      </c>
      <c r="B66">
        <v>7.4698051304791715</v>
      </c>
      <c r="D66" s="8">
        <v>1</v>
      </c>
      <c r="E66">
        <f t="shared" si="630"/>
        <v>5.2797035833200203</v>
      </c>
      <c r="F66" s="9">
        <f t="shared" si="631"/>
        <v>5.3921819539773104</v>
      </c>
      <c r="H66" s="10">
        <f t="shared" si="625"/>
        <v>7.4698051304791697</v>
      </c>
      <c r="L66">
        <f t="shared" si="626"/>
        <v>7.4698051304791697</v>
      </c>
      <c r="M66">
        <f t="shared" si="632"/>
        <v>6.5537538742828598</v>
      </c>
      <c r="N66">
        <f t="shared" si="627"/>
        <v>0.91605125619631012</v>
      </c>
      <c r="X66">
        <f t="shared" si="624"/>
        <v>5.3546264732197999</v>
      </c>
      <c r="Y66">
        <f t="shared" si="628"/>
        <v>7.4698051304791697</v>
      </c>
      <c r="Z66">
        <f t="shared" si="623"/>
        <v>7.38626300488807</v>
      </c>
      <c r="AK66" t="e">
        <v>#NAME?</v>
      </c>
      <c r="AL66" t="e">
        <v>#NAME?</v>
      </c>
      <c r="AM66" t="e">
        <v>#NAME?</v>
      </c>
    </row>
    <row r="67">
      <c r="A67" s="15">
        <f t="shared" si="629"/>
        <v>64</v>
      </c>
      <c r="B67">
        <v>5.3546264732197955</v>
      </c>
      <c r="D67" s="8">
        <v>1</v>
      </c>
      <c r="E67">
        <f t="shared" si="630"/>
        <v>7.4698051304791697</v>
      </c>
      <c r="F67" s="9">
        <f t="shared" si="631"/>
        <v>5.2797035833200203</v>
      </c>
      <c r="H67" s="10">
        <f t="shared" si="625"/>
        <v>5.3546264732197999</v>
      </c>
      <c r="L67">
        <f t="shared" si="626"/>
        <v>5.3546264732197999</v>
      </c>
      <c r="M67">
        <f t="shared" si="632"/>
        <v>7.56602339968319</v>
      </c>
      <c r="N67">
        <f t="shared" si="627"/>
        <v>-2.2113969264633901</v>
      </c>
      <c r="X67">
        <f t="shared" si="624"/>
        <v>7.38626300488807</v>
      </c>
      <c r="Y67">
        <f t="shared" si="628"/>
        <v>5.3546264732197999</v>
      </c>
      <c r="Z67">
        <f t="shared" si="623"/>
        <v>8.9169928669823193</v>
      </c>
      <c r="AK67" t="e">
        <v>#NAME?</v>
      </c>
      <c r="AL67" t="e">
        <v>#NAME?</v>
      </c>
      <c r="AM67" t="e">
        <v>#NAME?</v>
      </c>
    </row>
    <row r="68">
      <c r="A68" s="15">
        <f t="shared" si="629"/>
        <v>65</v>
      </c>
      <c r="B68">
        <v>7.3862630048880655</v>
      </c>
      <c r="D68" s="8">
        <v>1</v>
      </c>
      <c r="E68">
        <f t="shared" si="630"/>
        <v>5.3546264732197999</v>
      </c>
      <c r="F68" s="9">
        <f t="shared" si="631"/>
        <v>7.4698051304791697</v>
      </c>
      <c r="H68" s="10">
        <f t="shared" si="625"/>
        <v>7.38626300488807</v>
      </c>
      <c r="L68">
        <f t="shared" si="626"/>
        <v>7.38626300488807</v>
      </c>
      <c r="M68">
        <f t="shared" si="632"/>
        <v>6.25852748277073</v>
      </c>
      <c r="N68">
        <f t="shared" si="627"/>
        <v>1.12773552211734</v>
      </c>
      <c r="X68">
        <f t="shared" si="624"/>
        <v>8.9169928669823193</v>
      </c>
      <c r="Y68">
        <f t="shared" si="628"/>
        <v>7.38626300488807</v>
      </c>
      <c r="Z68">
        <f t="shared" si="623"/>
        <v>8.0300089468534299</v>
      </c>
      <c r="AK68" t="e">
        <v>#NAME?</v>
      </c>
      <c r="AL68" t="e">
        <v>#NAME?</v>
      </c>
      <c r="AM68" t="e">
        <v>#NAME?</v>
      </c>
    </row>
    <row r="69">
      <c r="A69" s="15">
        <f t="shared" si="629"/>
        <v>66</v>
      </c>
      <c r="B69">
        <v>8.9169928669823157</v>
      </c>
      <c r="D69" s="8">
        <v>1</v>
      </c>
      <c r="E69">
        <f t="shared" si="630"/>
        <v>7.38626300488807</v>
      </c>
      <c r="F69" s="9">
        <f t="shared" si="631"/>
        <v>5.3546264732197999</v>
      </c>
      <c r="H69" s="10">
        <f t="shared" si="625"/>
        <v>8.9169928669823193</v>
      </c>
      <c r="L69">
        <f t="shared" si="626"/>
        <v>8.9169928669823193</v>
      </c>
      <c r="M69">
        <f t="shared" si="632"/>
        <v>7.5162167668129296</v>
      </c>
      <c r="N69">
        <f t="shared" si="627"/>
        <v>1.4007761001693899</v>
      </c>
      <c r="X69">
        <f t="shared" si="624"/>
        <v>8.0300089468534299</v>
      </c>
      <c r="Y69">
        <f t="shared" si="628"/>
        <v>8.9169928669823193</v>
      </c>
      <c r="Z69">
        <f t="shared" si="623"/>
        <v>8.2151443132194704</v>
      </c>
      <c r="AK69" t="e">
        <v>#NAME?</v>
      </c>
      <c r="AL69" t="e">
        <v>#NAME?</v>
      </c>
      <c r="AM69" t="e">
        <v>#NAME?</v>
      </c>
    </row>
    <row r="70">
      <c r="A70" s="15">
        <f t="shared" si="629"/>
        <v>67</v>
      </c>
      <c r="B70">
        <v>8.0300089468534299</v>
      </c>
      <c r="D70" s="8">
        <v>1</v>
      </c>
      <c r="E70">
        <f t="shared" si="630"/>
        <v>8.9169928669823193</v>
      </c>
      <c r="F70" s="9">
        <f t="shared" si="631"/>
        <v>7.38626300488807</v>
      </c>
      <c r="H70" s="10">
        <f t="shared" si="625"/>
        <v>8.0300089468534299</v>
      </c>
      <c r="L70">
        <f t="shared" si="626"/>
        <v>8.0300089468534299</v>
      </c>
      <c r="M70">
        <f t="shared" si="632"/>
        <v>7.8893065525053201</v>
      </c>
      <c r="N70">
        <f t="shared" si="627"/>
        <v>0.14070239434810999</v>
      </c>
      <c r="X70">
        <f t="shared" si="624"/>
        <v>8.2151443132194704</v>
      </c>
      <c r="Y70">
        <f t="shared" si="628"/>
        <v>8.0300089468534299</v>
      </c>
      <c r="Z70">
        <f t="shared" si="623"/>
        <v>6.4821485455978296</v>
      </c>
      <c r="AK70" t="e">
        <v>#NAME?</v>
      </c>
      <c r="AL70" t="e">
        <v>#NAME?</v>
      </c>
      <c r="AM70" t="e">
        <v>#NAME?</v>
      </c>
    </row>
    <row r="71">
      <c r="A71" s="15">
        <f t="shared" si="629"/>
        <v>68</v>
      </c>
      <c r="B71">
        <v>8.2151443132194668</v>
      </c>
      <c r="D71" s="8">
        <v>1</v>
      </c>
      <c r="E71">
        <f t="shared" si="630"/>
        <v>8.0300089468534299</v>
      </c>
      <c r="F71" s="9">
        <f t="shared" si="631"/>
        <v>8.9169928669823193</v>
      </c>
      <c r="H71" s="10">
        <f t="shared" si="625"/>
        <v>8.2151443132194704</v>
      </c>
      <c r="L71">
        <f t="shared" si="626"/>
        <v>8.2151443132194704</v>
      </c>
      <c r="M71">
        <f t="shared" si="632"/>
        <v>7.2439811014903102</v>
      </c>
      <c r="N71">
        <f t="shared" si="627"/>
        <v>0.97116321172915998</v>
      </c>
      <c r="X71">
        <f t="shared" si="624"/>
        <v>6.4821485455978296</v>
      </c>
      <c r="Y71">
        <f t="shared" si="628"/>
        <v>8.2151443132194704</v>
      </c>
      <c r="Z71">
        <f t="shared" si="623"/>
        <v>8.6269994716856893</v>
      </c>
      <c r="AK71" t="e">
        <v>#NAME?</v>
      </c>
      <c r="AL71" t="e">
        <v>#NAME?</v>
      </c>
      <c r="AM71" t="e">
        <v>#NAME?</v>
      </c>
    </row>
    <row r="72">
      <c r="A72" s="15">
        <f t="shared" si="629"/>
        <v>69</v>
      </c>
      <c r="B72">
        <v>6.4821485455978314</v>
      </c>
      <c r="D72" s="8">
        <v>1</v>
      </c>
      <c r="E72">
        <f t="shared" si="630"/>
        <v>8.2151443132194704</v>
      </c>
      <c r="F72" s="9">
        <f t="shared" si="631"/>
        <v>8.0300089468534299</v>
      </c>
      <c r="H72" s="10">
        <f t="shared" si="625"/>
        <v>6.4821485455978296</v>
      </c>
      <c r="L72">
        <f t="shared" si="626"/>
        <v>6.4821485455978296</v>
      </c>
      <c r="M72">
        <f t="shared" si="632"/>
        <v>7.4686068368541001</v>
      </c>
      <c r="N72">
        <f t="shared" si="627"/>
        <v>-0.98645829125627105</v>
      </c>
      <c r="X72">
        <f t="shared" si="624"/>
        <v>8.6269994716856893</v>
      </c>
      <c r="Y72">
        <f t="shared" si="628"/>
        <v>6.4821485455978296</v>
      </c>
      <c r="Z72">
        <f t="shared" ref="Z72:Z97" si="638">B74</f>
        <v>9.2940431937725094</v>
      </c>
      <c r="AK72" t="e">
        <v>#NAME?</v>
      </c>
      <c r="AL72" t="e">
        <v>#NAME?</v>
      </c>
      <c r="AM72" t="e">
        <v>#NAME?</v>
      </c>
    </row>
    <row r="73">
      <c r="A73" s="15">
        <f t="shared" si="629"/>
        <v>70</v>
      </c>
      <c r="B73">
        <v>8.6269994716856839</v>
      </c>
      <c r="D73" s="8">
        <v>1</v>
      </c>
      <c r="E73">
        <f t="shared" si="630"/>
        <v>6.4821485455978296</v>
      </c>
      <c r="F73" s="9">
        <f t="shared" si="631"/>
        <v>8.2151443132194704</v>
      </c>
      <c r="H73" s="10">
        <f t="shared" si="625"/>
        <v>8.6269994716856893</v>
      </c>
      <c r="L73">
        <f t="shared" si="626"/>
        <v>8.6269994716856893</v>
      </c>
      <c r="M73">
        <f t="shared" si="632"/>
        <v>6.6523781476219996</v>
      </c>
      <c r="N73">
        <f t="shared" si="627"/>
        <v>1.9746213240636901</v>
      </c>
      <c r="X73">
        <f t="shared" ref="X73:X98" si="639">B74</f>
        <v>9.2940431937725094</v>
      </c>
      <c r="Y73">
        <f t="shared" si="628"/>
        <v>8.6269994716856893</v>
      </c>
      <c r="Z73">
        <f t="shared" si="638"/>
        <v>8.4137893229457603</v>
      </c>
      <c r="AK73" t="e">
        <v>#NAME?</v>
      </c>
      <c r="AL73" t="e">
        <v>#NAME?</v>
      </c>
      <c r="AM73" t="e">
        <v>#NAME?</v>
      </c>
    </row>
    <row r="74">
      <c r="A74" s="15">
        <f t="shared" si="629"/>
        <v>71</v>
      </c>
      <c r="B74">
        <v>9.2940431937725041</v>
      </c>
      <c r="D74" s="8">
        <v>1</v>
      </c>
      <c r="E74">
        <f t="shared" si="630"/>
        <v>8.6269994716856893</v>
      </c>
      <c r="F74" s="9">
        <f t="shared" si="631"/>
        <v>6.4821485455978296</v>
      </c>
      <c r="H74" s="10">
        <f t="shared" ref="H74:H99" si="640">B74</f>
        <v>9.2940431937725094</v>
      </c>
      <c r="L74">
        <f t="shared" ref="L74:L99" si="641">B74</f>
        <v>9.2940431937725094</v>
      </c>
      <c r="M74">
        <f t="shared" si="632"/>
        <v>7.9009084603525901</v>
      </c>
      <c r="N74">
        <f t="shared" ref="N74:N99" si="642">L74-M74</f>
        <v>1.39313473341992</v>
      </c>
      <c r="X74">
        <f t="shared" si="639"/>
        <v>8.4137893229457603</v>
      </c>
      <c r="Y74">
        <f t="shared" ref="Y74:Y99" si="643">B74</f>
        <v>9.2940431937725094</v>
      </c>
      <c r="Z74">
        <f t="shared" si="638"/>
        <v>9.6617263427642701</v>
      </c>
      <c r="AK74" t="e">
        <v>#NAME?</v>
      </c>
      <c r="AL74" t="e">
        <v>#NAME?</v>
      </c>
      <c r="AM74" t="e">
        <v>#NAME?</v>
      </c>
    </row>
    <row r="75">
      <c r="A75" s="15">
        <f t="shared" ref="A75:A100" si="644">A74+1</f>
        <v>72</v>
      </c>
      <c r="B75">
        <v>8.4137893229457603</v>
      </c>
      <c r="D75" s="8">
        <v>1</v>
      </c>
      <c r="E75">
        <f t="shared" ref="E75:E100" si="645">B74</f>
        <v>9.2940431937725094</v>
      </c>
      <c r="F75" s="9">
        <f t="shared" si="631"/>
        <v>8.6269994716856893</v>
      </c>
      <c r="H75" s="10">
        <f t="shared" si="640"/>
        <v>8.4137893229457603</v>
      </c>
      <c r="L75">
        <f t="shared" si="641"/>
        <v>8.4137893229457603</v>
      </c>
      <c r="M75">
        <f t="shared" si="632"/>
        <v>7.86388867533684</v>
      </c>
      <c r="N75">
        <f t="shared" si="642"/>
        <v>0.54990064760891999</v>
      </c>
      <c r="X75">
        <f t="shared" si="639"/>
        <v>9.6617263427642701</v>
      </c>
      <c r="Y75">
        <f t="shared" si="643"/>
        <v>8.4137893229457603</v>
      </c>
      <c r="Z75">
        <f t="shared" si="638"/>
        <v>8.3537099682960996</v>
      </c>
      <c r="AK75" t="e">
        <v>#NAME?</v>
      </c>
      <c r="AL75" t="e">
        <v>#NAME?</v>
      </c>
      <c r="AM75" t="e">
        <v>#NAME?</v>
      </c>
    </row>
    <row r="76">
      <c r="A76" s="15">
        <f t="shared" si="644"/>
        <v>73</v>
      </c>
      <c r="B76">
        <v>9.6617263427642683</v>
      </c>
      <c r="D76" s="8">
        <v>1</v>
      </c>
      <c r="E76">
        <f t="shared" si="645"/>
        <v>8.4137893229457603</v>
      </c>
      <c r="F76" s="9">
        <f t="shared" ref="F76:F101" si="646">B74</f>
        <v>9.2940431937725094</v>
      </c>
      <c r="H76" s="10">
        <f t="shared" si="640"/>
        <v>9.6617263427642701</v>
      </c>
      <c r="L76">
        <f t="shared" si="641"/>
        <v>9.6617263427642701</v>
      </c>
      <c r="M76">
        <f t="shared" ref="M76:M100" si="647">J$6+L75*J$7+L74*J$8</f>
        <v>7.3584895903273102</v>
      </c>
      <c r="N76">
        <f t="shared" si="642"/>
        <v>2.3032367524369599</v>
      </c>
      <c r="X76">
        <f t="shared" si="639"/>
        <v>8.3537099682960996</v>
      </c>
      <c r="Y76">
        <f t="shared" si="643"/>
        <v>9.6617263427642701</v>
      </c>
      <c r="Z76">
        <f t="shared" si="638"/>
        <v>7.0127164687025401</v>
      </c>
      <c r="AK76" t="e">
        <v>#NAME?</v>
      </c>
      <c r="AL76" t="e">
        <v>#NAME?</v>
      </c>
      <c r="AM76" t="e">
        <v>#NAME?</v>
      </c>
    </row>
    <row r="77">
      <c r="A77" s="15">
        <f t="shared" si="644"/>
        <v>74</v>
      </c>
      <c r="B77">
        <v>8.353709968296096</v>
      </c>
      <c r="D77" s="8">
        <v>1</v>
      </c>
      <c r="E77">
        <f t="shared" si="645"/>
        <v>9.6617263427642701</v>
      </c>
      <c r="F77" s="9">
        <f t="shared" si="646"/>
        <v>8.4137893229457603</v>
      </c>
      <c r="H77" s="10">
        <f t="shared" si="640"/>
        <v>8.3537099682960996</v>
      </c>
      <c r="L77">
        <f t="shared" si="641"/>
        <v>8.3537099682960996</v>
      </c>
      <c r="M77">
        <f t="shared" si="647"/>
        <v>8.0646280538639292</v>
      </c>
      <c r="N77">
        <f t="shared" si="642"/>
        <v>0.28908191443217002</v>
      </c>
      <c r="X77">
        <f t="shared" si="639"/>
        <v>7.0127164687025401</v>
      </c>
      <c r="Y77">
        <f t="shared" si="643"/>
        <v>8.3537099682960996</v>
      </c>
      <c r="Z77">
        <f t="shared" si="638"/>
        <v>8.9515775235567894</v>
      </c>
      <c r="AK77" t="e">
        <v>#NAME?</v>
      </c>
      <c r="AL77" t="e">
        <v>#NAME?</v>
      </c>
      <c r="AM77" t="e">
        <v>#NAME?</v>
      </c>
    </row>
    <row r="78">
      <c r="A78" s="15">
        <f t="shared" si="644"/>
        <v>75</v>
      </c>
      <c r="B78">
        <v>7.0127164687025392</v>
      </c>
      <c r="D78" s="8">
        <v>1</v>
      </c>
      <c r="E78">
        <f t="shared" si="645"/>
        <v>8.3537099682960996</v>
      </c>
      <c r="F78" s="9">
        <f t="shared" si="646"/>
        <v>9.6617263427642701</v>
      </c>
      <c r="H78" s="10">
        <f t="shared" si="640"/>
        <v>7.0127164687025401</v>
      </c>
      <c r="L78">
        <f t="shared" si="641"/>
        <v>7.0127164687025401</v>
      </c>
      <c r="M78">
        <f t="shared" si="647"/>
        <v>7.2729420926500801</v>
      </c>
      <c r="N78">
        <f t="shared" si="642"/>
        <v>-0.26022562394754001</v>
      </c>
      <c r="X78">
        <f t="shared" si="639"/>
        <v>8.9515775235567894</v>
      </c>
      <c r="Y78">
        <f t="shared" si="643"/>
        <v>7.0127164687025401</v>
      </c>
      <c r="Z78">
        <f t="shared" si="638"/>
        <v>7.7871059802711402</v>
      </c>
      <c r="AK78" t="e">
        <v>#NAME?</v>
      </c>
      <c r="AL78" t="e">
        <v>#NAME?</v>
      </c>
      <c r="AM78" t="e">
        <v>#NAME?</v>
      </c>
    </row>
    <row r="79">
      <c r="A79" s="15">
        <f t="shared" si="644"/>
        <v>76</v>
      </c>
      <c r="B79">
        <v>8.9515775235567929</v>
      </c>
      <c r="D79" s="8">
        <v>1</v>
      </c>
      <c r="E79">
        <f t="shared" si="645"/>
        <v>7.0127164687025401</v>
      </c>
      <c r="F79" s="9">
        <f t="shared" si="646"/>
        <v>8.3537099682960996</v>
      </c>
      <c r="H79" s="10">
        <f t="shared" si="640"/>
        <v>8.9515775235567894</v>
      </c>
      <c r="L79">
        <f t="shared" si="641"/>
        <v>8.9515775235567894</v>
      </c>
      <c r="M79">
        <f t="shared" si="647"/>
        <v>6.8713307395018797</v>
      </c>
      <c r="N79">
        <f t="shared" si="642"/>
        <v>2.0802467840549101</v>
      </c>
      <c r="X79">
        <f t="shared" si="639"/>
        <v>7.7871059802711402</v>
      </c>
      <c r="Y79">
        <f t="shared" si="643"/>
        <v>8.9515775235567894</v>
      </c>
      <c r="Z79">
        <f t="shared" si="638"/>
        <v>5.9914461883467398</v>
      </c>
      <c r="AK79" t="e">
        <v>#NAME?</v>
      </c>
      <c r="AL79" t="e">
        <v>#NAME?</v>
      </c>
      <c r="AM79" t="e">
        <v>#NAME?</v>
      </c>
    </row>
    <row r="80">
      <c r="A80" s="15">
        <f t="shared" si="644"/>
        <v>77</v>
      </c>
      <c r="B80">
        <v>7.7871059802711375</v>
      </c>
      <c r="D80" s="8">
        <v>1</v>
      </c>
      <c r="E80">
        <f t="shared" si="645"/>
        <v>8.9515775235567894</v>
      </c>
      <c r="F80" s="9">
        <f t="shared" si="646"/>
        <v>7.0127164687025401</v>
      </c>
      <c r="H80" s="10">
        <f t="shared" si="640"/>
        <v>7.7871059802711402</v>
      </c>
      <c r="L80">
        <f t="shared" si="641"/>
        <v>7.7871059802711402</v>
      </c>
      <c r="M80">
        <f t="shared" si="647"/>
        <v>7.9642070283228197</v>
      </c>
      <c r="N80">
        <f t="shared" si="642"/>
        <v>-0.17710104805167901</v>
      </c>
      <c r="X80">
        <f t="shared" si="639"/>
        <v>5.9914461883467398</v>
      </c>
      <c r="Y80">
        <f t="shared" si="643"/>
        <v>7.7871059802711402</v>
      </c>
      <c r="Z80">
        <f t="shared" si="638"/>
        <v>6.0471013441916899</v>
      </c>
      <c r="AK80" t="e">
        <v>#NAME?</v>
      </c>
      <c r="AL80" t="e">
        <v>#NAME?</v>
      </c>
      <c r="AM80" t="e">
        <v>#NAME?</v>
      </c>
    </row>
    <row r="81">
      <c r="A81" s="15">
        <f t="shared" si="644"/>
        <v>78</v>
      </c>
      <c r="B81">
        <v>5.9914461883467407</v>
      </c>
      <c r="D81" s="8">
        <v>1</v>
      </c>
      <c r="E81">
        <f t="shared" si="645"/>
        <v>7.7871059802711402</v>
      </c>
      <c r="F81" s="9">
        <f t="shared" si="646"/>
        <v>8.9515775235567894</v>
      </c>
      <c r="H81" s="10">
        <f t="shared" si="640"/>
        <v>5.9914461883467398</v>
      </c>
      <c r="L81">
        <f t="shared" si="641"/>
        <v>5.9914461883467398</v>
      </c>
      <c r="M81">
        <f t="shared" si="647"/>
        <v>7.1282070552658903</v>
      </c>
      <c r="N81">
        <f t="shared" si="642"/>
        <v>-1.13676086691915</v>
      </c>
      <c r="X81">
        <f t="shared" si="639"/>
        <v>6.0471013441916899</v>
      </c>
      <c r="Y81">
        <f t="shared" si="643"/>
        <v>5.9914461883467398</v>
      </c>
      <c r="Z81">
        <f t="shared" si="638"/>
        <v>6.1994021267282502</v>
      </c>
      <c r="AK81" t="e">
        <v>#NAME?</v>
      </c>
      <c r="AL81" t="e">
        <v>#NAME?</v>
      </c>
      <c r="AM81" t="e">
        <v>#NAME?</v>
      </c>
    </row>
    <row r="82">
      <c r="A82" s="15">
        <f t="shared" si="644"/>
        <v>79</v>
      </c>
      <c r="B82">
        <v>6.0471013441916917</v>
      </c>
      <c r="D82" s="8">
        <v>1</v>
      </c>
      <c r="E82">
        <f t="shared" si="645"/>
        <v>5.9914461883467398</v>
      </c>
      <c r="F82" s="9">
        <f t="shared" si="646"/>
        <v>7.7871059802711402</v>
      </c>
      <c r="H82" s="10">
        <f t="shared" si="640"/>
        <v>6.0471013441916899</v>
      </c>
      <c r="L82">
        <f t="shared" si="641"/>
        <v>6.0471013441916899</v>
      </c>
      <c r="M82">
        <f t="shared" si="647"/>
        <v>6.4974005047190904</v>
      </c>
      <c r="N82">
        <f t="shared" si="642"/>
        <v>-0.45029916052740104</v>
      </c>
      <c r="X82">
        <f t="shared" si="639"/>
        <v>6.1994021267282502</v>
      </c>
      <c r="Y82">
        <f t="shared" si="643"/>
        <v>6.0471013441916899</v>
      </c>
      <c r="Z82">
        <f t="shared" si="638"/>
        <v>7.7702460900772703</v>
      </c>
      <c r="AK82" t="e">
        <v>#NAME?</v>
      </c>
      <c r="AL82" t="e">
        <v>#NAME?</v>
      </c>
      <c r="AM82" t="e">
        <v>#NAME?</v>
      </c>
    </row>
    <row r="83">
      <c r="A83" s="15">
        <f t="shared" si="644"/>
        <v>80</v>
      </c>
      <c r="B83">
        <v>6.1994021267282449</v>
      </c>
      <c r="D83" s="8">
        <v>1</v>
      </c>
      <c r="E83">
        <f t="shared" si="645"/>
        <v>6.0471013441916899</v>
      </c>
      <c r="F83" s="9">
        <f t="shared" si="646"/>
        <v>5.9914461883467398</v>
      </c>
      <c r="H83" s="10">
        <f t="shared" si="640"/>
        <v>6.1994021267282502</v>
      </c>
      <c r="L83">
        <f t="shared" si="641"/>
        <v>6.1994021267282502</v>
      </c>
      <c r="M83">
        <f t="shared" si="647"/>
        <v>6.8072341572332302</v>
      </c>
      <c r="N83">
        <f t="shared" si="642"/>
        <v>-0.60783203050498003</v>
      </c>
      <c r="X83">
        <f t="shared" si="639"/>
        <v>7.7702460900772703</v>
      </c>
      <c r="Y83">
        <f t="shared" si="643"/>
        <v>6.1994021267282502</v>
      </c>
      <c r="Z83">
        <f t="shared" si="638"/>
        <v>6.8348719600207701</v>
      </c>
      <c r="AK83" t="e">
        <v>#NAME?</v>
      </c>
      <c r="AL83" t="e">
        <v>#NAME?</v>
      </c>
      <c r="AM83" t="e">
        <v>#NAME?</v>
      </c>
    </row>
    <row r="84">
      <c r="A84" s="15">
        <f t="shared" si="644"/>
        <v>81</v>
      </c>
      <c r="B84">
        <v>7.7702460900772738</v>
      </c>
      <c r="D84" s="8">
        <v>1</v>
      </c>
      <c r="E84">
        <f t="shared" si="645"/>
        <v>6.1994021267282502</v>
      </c>
      <c r="F84" s="9">
        <f t="shared" si="646"/>
        <v>6.0471013441916899</v>
      </c>
      <c r="H84" s="10">
        <f t="shared" si="640"/>
        <v>7.7702460900772703</v>
      </c>
      <c r="L84">
        <f t="shared" si="641"/>
        <v>7.7702460900772703</v>
      </c>
      <c r="M84">
        <f t="shared" si="647"/>
        <v>6.8675685460229401</v>
      </c>
      <c r="N84">
        <f t="shared" si="642"/>
        <v>0.90267754405432998</v>
      </c>
      <c r="X84">
        <f t="shared" si="639"/>
        <v>6.8348719600207701</v>
      </c>
      <c r="Y84">
        <f t="shared" si="643"/>
        <v>7.7702460900772703</v>
      </c>
      <c r="Z84">
        <f t="shared" si="638"/>
        <v>7.3287274991072104</v>
      </c>
      <c r="AK84" t="e">
        <v>#NAME?</v>
      </c>
      <c r="AL84" t="e">
        <v>#NAME?</v>
      </c>
      <c r="AM84" t="e">
        <v>#NAME?</v>
      </c>
    </row>
    <row r="85">
      <c r="A85" s="15">
        <f t="shared" si="644"/>
        <v>82</v>
      </c>
      <c r="B85">
        <v>6.8348719600207684</v>
      </c>
      <c r="D85" s="8">
        <v>1</v>
      </c>
      <c r="E85">
        <f t="shared" si="645"/>
        <v>7.7702460900772703</v>
      </c>
      <c r="F85" s="9">
        <f t="shared" si="646"/>
        <v>6.1994021267282502</v>
      </c>
      <c r="H85" s="10">
        <f t="shared" si="640"/>
        <v>6.8348719600207701</v>
      </c>
      <c r="L85">
        <f t="shared" si="641"/>
        <v>6.8348719600207701</v>
      </c>
      <c r="M85">
        <f t="shared" si="647"/>
        <v>7.5566956989622103</v>
      </c>
      <c r="N85">
        <f t="shared" si="642"/>
        <v>-0.72182373894144003</v>
      </c>
      <c r="X85">
        <f t="shared" si="639"/>
        <v>7.3287274991072104</v>
      </c>
      <c r="Y85">
        <f t="shared" si="643"/>
        <v>6.8348719600207701</v>
      </c>
      <c r="Z85">
        <f t="shared" si="638"/>
        <v>6.8192852019370704</v>
      </c>
      <c r="AK85" t="e">
        <v>#NAME?</v>
      </c>
      <c r="AL85" t="e">
        <v>#NAME?</v>
      </c>
      <c r="AM85" t="e">
        <v>#NAME?</v>
      </c>
    </row>
    <row r="86">
      <c r="A86" s="15">
        <f t="shared" si="644"/>
        <v>83</v>
      </c>
      <c r="B86">
        <v>7.3287274991072104</v>
      </c>
      <c r="D86" s="8">
        <v>1</v>
      </c>
      <c r="E86">
        <f t="shared" si="645"/>
        <v>6.8348719600207701</v>
      </c>
      <c r="F86" s="9">
        <f t="shared" si="646"/>
        <v>7.7702460900772703</v>
      </c>
      <c r="H86" s="10">
        <f t="shared" si="640"/>
        <v>7.3287274991072104</v>
      </c>
      <c r="L86">
        <f t="shared" si="641"/>
        <v>7.3287274991072104</v>
      </c>
      <c r="M86">
        <f t="shared" si="647"/>
        <v>6.8830410464733403</v>
      </c>
      <c r="N86">
        <f t="shared" si="642"/>
        <v>0.44568645263387002</v>
      </c>
      <c r="X86">
        <f t="shared" si="639"/>
        <v>6.8192852019370704</v>
      </c>
      <c r="Y86">
        <f t="shared" si="643"/>
        <v>7.3287274991072104</v>
      </c>
      <c r="Z86">
        <f t="shared" si="638"/>
        <v>6.42678905221167</v>
      </c>
      <c r="AK86" t="e">
        <v>#NAME?</v>
      </c>
      <c r="AL86" t="e">
        <v>#NAME?</v>
      </c>
      <c r="AM86" t="e">
        <v>#NAME?</v>
      </c>
    </row>
    <row r="87">
      <c r="A87" s="15">
        <f t="shared" si="644"/>
        <v>84</v>
      </c>
      <c r="B87">
        <v>6.8192852019370704</v>
      </c>
      <c r="D87" s="8">
        <v>1</v>
      </c>
      <c r="E87">
        <f t="shared" si="645"/>
        <v>7.3287274991072104</v>
      </c>
      <c r="F87" s="9">
        <f t="shared" si="646"/>
        <v>6.8348719600207701</v>
      </c>
      <c r="H87" s="10">
        <f t="shared" si="640"/>
        <v>6.8192852019370704</v>
      </c>
      <c r="L87">
        <f t="shared" si="641"/>
        <v>6.8192852019370704</v>
      </c>
      <c r="M87">
        <f t="shared" si="647"/>
        <v>7.2555138082102602</v>
      </c>
      <c r="N87">
        <f t="shared" si="642"/>
        <v>-0.43622860627318999</v>
      </c>
      <c r="X87">
        <f t="shared" si="639"/>
        <v>6.42678905221167</v>
      </c>
      <c r="Y87">
        <f t="shared" si="643"/>
        <v>6.8192852019370704</v>
      </c>
      <c r="Z87">
        <f t="shared" si="638"/>
        <v>5.5555076226554698</v>
      </c>
      <c r="AK87" t="e">
        <v>#NAME?</v>
      </c>
      <c r="AL87" t="e">
        <v>#NAME?</v>
      </c>
      <c r="AM87" t="e">
        <v>#NAME?</v>
      </c>
    </row>
    <row r="88">
      <c r="A88" s="15">
        <f t="shared" si="644"/>
        <v>85</v>
      </c>
      <c r="B88">
        <v>6.4267890522116708</v>
      </c>
      <c r="D88" s="8">
        <v>1</v>
      </c>
      <c r="E88">
        <f t="shared" si="645"/>
        <v>6.8192852019370704</v>
      </c>
      <c r="F88" s="9">
        <f t="shared" si="646"/>
        <v>7.3287274991072104</v>
      </c>
      <c r="H88" s="10">
        <f t="shared" si="640"/>
        <v>6.42678905221167</v>
      </c>
      <c r="L88">
        <f t="shared" si="641"/>
        <v>6.42678905221167</v>
      </c>
      <c r="M88">
        <f t="shared" si="647"/>
        <v>6.9459322238811501</v>
      </c>
      <c r="N88">
        <f t="shared" si="642"/>
        <v>-0.51914317166947999</v>
      </c>
      <c r="X88">
        <f t="shared" si="639"/>
        <v>5.5555076226554698</v>
      </c>
      <c r="Y88">
        <f t="shared" si="643"/>
        <v>6.42678905221167</v>
      </c>
      <c r="Z88">
        <f t="shared" si="638"/>
        <v>6.3790076989131901</v>
      </c>
      <c r="AK88" t="e">
        <v>#NAME?</v>
      </c>
      <c r="AL88" t="e">
        <v>#NAME?</v>
      </c>
      <c r="AM88" t="e">
        <v>#NAME?</v>
      </c>
    </row>
    <row r="89">
      <c r="A89" s="15">
        <f t="shared" si="644"/>
        <v>86</v>
      </c>
      <c r="B89">
        <v>5.5555076226554716</v>
      </c>
      <c r="D89" s="8">
        <v>1</v>
      </c>
      <c r="E89">
        <f t="shared" si="645"/>
        <v>6.42678905221167</v>
      </c>
      <c r="F89" s="9">
        <f t="shared" si="646"/>
        <v>6.8192852019370704</v>
      </c>
      <c r="H89" s="10">
        <f t="shared" si="640"/>
        <v>5.5555076226554698</v>
      </c>
      <c r="L89">
        <f t="shared" si="641"/>
        <v>5.5555076226554698</v>
      </c>
      <c r="M89">
        <f t="shared" si="647"/>
        <v>6.8484467077127302</v>
      </c>
      <c r="N89">
        <f t="shared" si="642"/>
        <v>-1.29293908505726</v>
      </c>
      <c r="X89">
        <f t="shared" si="639"/>
        <v>6.3790076989131901</v>
      </c>
      <c r="Y89">
        <f t="shared" si="643"/>
        <v>5.5555076226554698</v>
      </c>
      <c r="Z89">
        <f t="shared" si="638"/>
        <v>6.8468683813833904</v>
      </c>
      <c r="AK89" t="e">
        <v>#NAME?</v>
      </c>
      <c r="AL89" t="e">
        <v>#NAME?</v>
      </c>
      <c r="AM89" t="e">
        <v>#NAME?</v>
      </c>
    </row>
    <row r="90">
      <c r="A90" s="15">
        <f t="shared" si="644"/>
        <v>87</v>
      </c>
      <c r="B90">
        <v>6.3790076989131865</v>
      </c>
      <c r="D90" s="8">
        <v>1</v>
      </c>
      <c r="E90">
        <f t="shared" si="645"/>
        <v>5.5555076226554698</v>
      </c>
      <c r="F90" s="9">
        <f t="shared" si="646"/>
        <v>6.42678905221167</v>
      </c>
      <c r="H90" s="10">
        <f t="shared" si="640"/>
        <v>6.3790076989131901</v>
      </c>
      <c r="L90">
        <f t="shared" si="641"/>
        <v>6.3790076989131901</v>
      </c>
      <c r="M90">
        <f t="shared" si="647"/>
        <v>6.5150296061841599</v>
      </c>
      <c r="N90">
        <f t="shared" si="642"/>
        <v>-0.13602190727096999</v>
      </c>
      <c r="X90">
        <f t="shared" si="639"/>
        <v>6.8468683813833904</v>
      </c>
      <c r="Y90">
        <f t="shared" si="643"/>
        <v>6.3790076989131901</v>
      </c>
      <c r="Z90">
        <f t="shared" si="638"/>
        <v>6.5297839037031897</v>
      </c>
      <c r="AK90" t="e">
        <v>#NAME?</v>
      </c>
      <c r="AL90" t="e">
        <v>#NAME?</v>
      </c>
      <c r="AM90" t="e">
        <v>#NAME?</v>
      </c>
    </row>
    <row r="91">
      <c r="A91" s="15">
        <f t="shared" si="644"/>
        <v>88</v>
      </c>
      <c r="B91">
        <v>6.8468683813833922</v>
      </c>
      <c r="D91" s="8">
        <v>1</v>
      </c>
      <c r="E91">
        <f t="shared" si="645"/>
        <v>6.3790076989131901</v>
      </c>
      <c r="F91" s="9">
        <f t="shared" si="646"/>
        <v>5.5555076226554698</v>
      </c>
      <c r="H91" s="10">
        <f t="shared" si="640"/>
        <v>6.8468683813833904</v>
      </c>
      <c r="L91">
        <f t="shared" si="641"/>
        <v>6.8468683813833904</v>
      </c>
      <c r="M91">
        <f t="shared" si="647"/>
        <v>7.0270249334055501</v>
      </c>
      <c r="N91">
        <f t="shared" si="642"/>
        <v>-0.18015655202215999</v>
      </c>
      <c r="X91">
        <f t="shared" si="639"/>
        <v>6.5297839037031897</v>
      </c>
      <c r="Y91">
        <f t="shared" si="643"/>
        <v>6.8468683813833904</v>
      </c>
      <c r="Z91">
        <f t="shared" si="638"/>
        <v>6.9722207272041796</v>
      </c>
      <c r="AK91" t="e">
        <v>#NAME?</v>
      </c>
      <c r="AL91" t="e">
        <v>#NAME?</v>
      </c>
      <c r="AM91" t="e">
        <v>#NAME?</v>
      </c>
    </row>
    <row r="92">
      <c r="A92" s="15">
        <f t="shared" si="644"/>
        <v>89</v>
      </c>
      <c r="B92">
        <v>6.5297839037031844</v>
      </c>
      <c r="D92" s="8">
        <v>1</v>
      </c>
      <c r="E92">
        <f t="shared" si="645"/>
        <v>6.8468683813833904</v>
      </c>
      <c r="F92" s="9">
        <f t="shared" si="646"/>
        <v>6.3790076989131901</v>
      </c>
      <c r="H92" s="10">
        <f t="shared" si="640"/>
        <v>6.5297839037031897</v>
      </c>
      <c r="L92">
        <f t="shared" si="641"/>
        <v>6.5297839037031897</v>
      </c>
      <c r="M92">
        <f t="shared" si="647"/>
        <v>7.1089612003367098</v>
      </c>
      <c r="N92">
        <f t="shared" si="642"/>
        <v>-0.57917729663352002</v>
      </c>
      <c r="X92">
        <f t="shared" si="639"/>
        <v>6.9722207272041796</v>
      </c>
      <c r="Y92">
        <f t="shared" si="643"/>
        <v>6.5297839037031897</v>
      </c>
      <c r="Z92">
        <f t="shared" si="638"/>
        <v>7.92099063376111</v>
      </c>
      <c r="AK92" t="e">
        <v>#NAME?</v>
      </c>
      <c r="AL92" t="e">
        <v>#NAME?</v>
      </c>
      <c r="AM92" t="e">
        <v>#NAME?</v>
      </c>
    </row>
    <row r="93">
      <c r="A93" s="15">
        <f t="shared" si="644"/>
        <v>90</v>
      </c>
      <c r="B93">
        <v>6.9722207272041752</v>
      </c>
      <c r="D93" s="8">
        <v>1</v>
      </c>
      <c r="E93">
        <f t="shared" si="645"/>
        <v>6.5297839037031897</v>
      </c>
      <c r="F93" s="9">
        <f t="shared" si="646"/>
        <v>6.8468683813833904</v>
      </c>
      <c r="H93" s="10">
        <f t="shared" si="640"/>
        <v>6.9722207272041796</v>
      </c>
      <c r="L93">
        <f t="shared" si="641"/>
        <v>6.9722207272041796</v>
      </c>
      <c r="M93">
        <f t="shared" si="647"/>
        <v>6.8908417174938599</v>
      </c>
      <c r="N93">
        <f t="shared" si="642"/>
        <v>8.1379009710319999e-02</v>
      </c>
      <c r="X93">
        <f t="shared" si="639"/>
        <v>7.92099063376111</v>
      </c>
      <c r="Y93">
        <f t="shared" si="643"/>
        <v>6.9722207272041796</v>
      </c>
      <c r="Z93">
        <f t="shared" si="638"/>
        <v>7.7482352854108001</v>
      </c>
      <c r="AK93" t="e">
        <v>#NAME?</v>
      </c>
      <c r="AL93" t="e">
        <v>#NAME?</v>
      </c>
      <c r="AM93" t="e">
        <v>#NAME?</v>
      </c>
    </row>
    <row r="94">
      <c r="A94" s="15">
        <f t="shared" si="644"/>
        <v>91</v>
      </c>
      <c r="B94">
        <v>7.9209906337611073</v>
      </c>
      <c r="D94" s="8">
        <v>1</v>
      </c>
      <c r="E94">
        <f t="shared" si="645"/>
        <v>6.9722207272041796</v>
      </c>
      <c r="F94" s="9">
        <f t="shared" si="646"/>
        <v>6.5297839037031897</v>
      </c>
      <c r="H94" s="10">
        <f t="shared" si="640"/>
        <v>7.92099063376111</v>
      </c>
      <c r="L94">
        <f t="shared" si="641"/>
        <v>7.92099063376111</v>
      </c>
      <c r="M94">
        <f t="shared" si="647"/>
        <v>7.1419852223199598</v>
      </c>
      <c r="N94">
        <f t="shared" si="642"/>
        <v>0.77900541144114999</v>
      </c>
      <c r="X94">
        <f t="shared" si="639"/>
        <v>7.7482352854108001</v>
      </c>
      <c r="Y94">
        <f t="shared" si="643"/>
        <v>7.92099063376111</v>
      </c>
      <c r="Z94">
        <f t="shared" si="638"/>
        <v>6.9019892363480597</v>
      </c>
      <c r="AK94" t="e">
        <v>#NAME?</v>
      </c>
      <c r="AL94" t="e">
        <v>#NAME?</v>
      </c>
      <c r="AM94" t="e">
        <v>#NAME?</v>
      </c>
    </row>
    <row r="95">
      <c r="A95" s="15">
        <f t="shared" si="644"/>
        <v>92</v>
      </c>
      <c r="B95">
        <v>7.7482352854108036</v>
      </c>
      <c r="D95" s="8">
        <v>1</v>
      </c>
      <c r="E95">
        <f t="shared" si="645"/>
        <v>7.92099063376111</v>
      </c>
      <c r="F95" s="9">
        <f t="shared" si="646"/>
        <v>6.9722207272041796</v>
      </c>
      <c r="H95" s="10">
        <f t="shared" si="640"/>
        <v>7.7482352854108001</v>
      </c>
      <c r="L95">
        <f t="shared" si="641"/>
        <v>7.7482352854108001</v>
      </c>
      <c r="M95">
        <f t="shared" si="647"/>
        <v>7.5026727764344496</v>
      </c>
      <c r="N95">
        <f t="shared" si="642"/>
        <v>0.24556250897635098</v>
      </c>
      <c r="X95">
        <f t="shared" si="639"/>
        <v>6.9019892363480597</v>
      </c>
      <c r="Y95">
        <f t="shared" si="643"/>
        <v>7.7482352854108001</v>
      </c>
      <c r="Z95">
        <f t="shared" si="638"/>
        <v>5.2437738080077603</v>
      </c>
      <c r="AK95" t="e">
        <v>#NAME?</v>
      </c>
      <c r="AL95" t="e">
        <v>#NAME?</v>
      </c>
      <c r="AM95" t="e">
        <v>#NAME?</v>
      </c>
    </row>
    <row r="96">
      <c r="A96" s="15">
        <f t="shared" si="644"/>
        <v>93</v>
      </c>
      <c r="B96">
        <v>6.9019892363480597</v>
      </c>
      <c r="D96" s="8">
        <v>1</v>
      </c>
      <c r="E96">
        <f t="shared" si="645"/>
        <v>7.7482352854108001</v>
      </c>
      <c r="F96" s="9">
        <f t="shared" si="646"/>
        <v>7.92099063376111</v>
      </c>
      <c r="H96" s="10">
        <f t="shared" si="640"/>
        <v>6.9019892363480597</v>
      </c>
      <c r="L96">
        <f t="shared" si="641"/>
        <v>6.9019892363480597</v>
      </c>
      <c r="M96">
        <f t="shared" si="647"/>
        <v>7.2738769738334401</v>
      </c>
      <c r="N96">
        <f t="shared" si="642"/>
        <v>-0.37188773748538001</v>
      </c>
      <c r="X96">
        <f t="shared" si="639"/>
        <v>5.2437738080077603</v>
      </c>
      <c r="Y96">
        <f t="shared" si="643"/>
        <v>6.9019892363480597</v>
      </c>
      <c r="Z96">
        <f t="shared" si="638"/>
        <v>5.9885180851756701</v>
      </c>
      <c r="AK96" t="e">
        <v>#NAME?</v>
      </c>
      <c r="AL96" t="e">
        <v>#NAME?</v>
      </c>
      <c r="AM96" t="e">
        <v>#NAME?</v>
      </c>
    </row>
    <row r="97">
      <c r="A97" s="15">
        <f t="shared" si="644"/>
        <v>94</v>
      </c>
      <c r="B97">
        <v>5.2437738080077576</v>
      </c>
      <c r="D97" s="8">
        <v>1</v>
      </c>
      <c r="E97">
        <f t="shared" si="645"/>
        <v>6.9019892363480597</v>
      </c>
      <c r="F97" s="9">
        <f t="shared" si="646"/>
        <v>7.7482352854108001</v>
      </c>
      <c r="H97" s="10">
        <f t="shared" si="640"/>
        <v>5.2437738080077603</v>
      </c>
      <c r="L97">
        <f t="shared" si="641"/>
        <v>5.2437738080077603</v>
      </c>
      <c r="M97">
        <f t="shared" si="647"/>
        <v>6.9170046474658502</v>
      </c>
      <c r="N97">
        <f t="shared" si="642"/>
        <v>-1.6732308394580899</v>
      </c>
      <c r="X97">
        <f t="shared" si="639"/>
        <v>5.9885180851756701</v>
      </c>
      <c r="Y97">
        <f t="shared" si="643"/>
        <v>5.2437738080077603</v>
      </c>
      <c r="Z97">
        <f t="shared" si="638"/>
        <v>5.9236083765200203</v>
      </c>
      <c r="AK97" t="e">
        <v>#NAME?</v>
      </c>
      <c r="AL97" t="e">
        <v>#NAME?</v>
      </c>
      <c r="AM97" t="e">
        <v>#NAME?</v>
      </c>
    </row>
    <row r="98">
      <c r="A98" s="15">
        <f t="shared" si="644"/>
        <v>95</v>
      </c>
      <c r="B98">
        <v>5.9885180851756683</v>
      </c>
      <c r="D98" s="8">
        <v>1</v>
      </c>
      <c r="E98">
        <f t="shared" si="645"/>
        <v>5.2437738080077603</v>
      </c>
      <c r="F98" s="9">
        <f t="shared" si="646"/>
        <v>6.9019892363480597</v>
      </c>
      <c r="H98" s="10">
        <f t="shared" si="640"/>
        <v>5.9885180851756701</v>
      </c>
      <c r="L98">
        <f t="shared" si="641"/>
        <v>5.9885180851756701</v>
      </c>
      <c r="M98">
        <f t="shared" si="647"/>
        <v>6.2981765540649999</v>
      </c>
      <c r="N98">
        <f t="shared" si="642"/>
        <v>-0.30965846888933002</v>
      </c>
      <c r="X98">
        <f t="shared" si="639"/>
        <v>5.9236083765200203</v>
      </c>
      <c r="Y98">
        <f t="shared" si="643"/>
        <v>5.9885180851756701</v>
      </c>
      <c r="Z98">
        <f t="shared" ref="Z98:Z101" si="648">B100</f>
        <v>7.5168005751827103</v>
      </c>
      <c r="AK98" t="e">
        <v>#NAME?</v>
      </c>
      <c r="AL98" t="e">
        <v>#NAME?</v>
      </c>
      <c r="AM98" t="e">
        <v>#NAME?</v>
      </c>
    </row>
    <row r="99">
      <c r="A99" s="15">
        <f t="shared" si="644"/>
        <v>96</v>
      </c>
      <c r="B99">
        <v>5.9236083765200203</v>
      </c>
      <c r="D99" s="8">
        <v>1</v>
      </c>
      <c r="E99">
        <f t="shared" si="645"/>
        <v>5.9885180851756701</v>
      </c>
      <c r="F99" s="9">
        <f t="shared" si="646"/>
        <v>5.2437738080077603</v>
      </c>
      <c r="H99" s="10">
        <f t="shared" si="640"/>
        <v>5.9236083765200203</v>
      </c>
      <c r="L99">
        <f t="shared" si="641"/>
        <v>5.9236083765200203</v>
      </c>
      <c r="M99">
        <f t="shared" si="647"/>
        <v>6.8991191551566997</v>
      </c>
      <c r="N99">
        <f t="shared" si="642"/>
        <v>-0.97551077863668001</v>
      </c>
      <c r="X99">
        <f t="shared" ref="X99:X101" si="649">B100</f>
        <v>7.5168005751827103</v>
      </c>
      <c r="Y99">
        <f t="shared" si="643"/>
        <v>5.9236083765200203</v>
      </c>
      <c r="Z99">
        <f t="shared" si="648"/>
        <v>7.8620302663362098</v>
      </c>
      <c r="AK99" t="e">
        <v>#NAME?</v>
      </c>
      <c r="AL99" t="e">
        <v>#NAME?</v>
      </c>
      <c r="AM99" t="e">
        <v>#NAME?</v>
      </c>
    </row>
    <row r="100">
      <c r="A100" s="15">
        <f t="shared" si="644"/>
        <v>97</v>
      </c>
      <c r="B100">
        <v>7.5168005751827076</v>
      </c>
      <c r="D100" s="8">
        <v>1</v>
      </c>
      <c r="E100">
        <f t="shared" si="645"/>
        <v>5.9236083765200203</v>
      </c>
      <c r="F100" s="9">
        <f t="shared" si="646"/>
        <v>5.9885180851756701</v>
      </c>
      <c r="H100" s="10">
        <f t="shared" ref="H100:H103" si="650">B100</f>
        <v>7.5168005751827103</v>
      </c>
      <c r="L100">
        <f t="shared" ref="L100:L103" si="651">B100</f>
        <v>7.5168005751827103</v>
      </c>
      <c r="M100">
        <f t="shared" si="647"/>
        <v>6.7516245531501697</v>
      </c>
      <c r="N100">
        <f t="shared" ref="N100:N103" si="652">L100-M100</f>
        <v>0.76517602203254098</v>
      </c>
      <c r="X100">
        <f t="shared" si="649"/>
        <v>7.8620302663362098</v>
      </c>
      <c r="Y100">
        <f t="shared" ref="Y100:Y101" si="653">B100</f>
        <v>7.5168005751827103</v>
      </c>
      <c r="Z100">
        <f t="shared" si="648"/>
        <v>6.7345852259753096</v>
      </c>
      <c r="AK100" t="e">
        <v>#NAME?</v>
      </c>
      <c r="AL100" t="e">
        <v>#NAME?</v>
      </c>
      <c r="AM100" t="e">
        <v>#NAME?</v>
      </c>
    </row>
    <row r="101">
      <c r="A101" s="15">
        <f t="shared" ref="A101:A103" si="654">A100+1</f>
        <v>98</v>
      </c>
      <c r="B101">
        <v>7.8620302663362116</v>
      </c>
      <c r="D101" s="8">
        <v>1</v>
      </c>
      <c r="E101">
        <f t="shared" ref="E101:E103" si="655">B100</f>
        <v>7.5168005751827103</v>
      </c>
      <c r="F101" s="9">
        <f t="shared" si="646"/>
        <v>5.9236083765200203</v>
      </c>
      <c r="H101" s="10">
        <f t="shared" si="650"/>
        <v>7.8620302663362098</v>
      </c>
      <c r="L101">
        <f t="shared" si="651"/>
        <v>7.8620302663362098</v>
      </c>
      <c r="M101">
        <f>J$6+L100*J$7+L99*J$8</f>
        <v>7.4853211086516902</v>
      </c>
      <c r="N101">
        <f t="shared" si="652"/>
        <v>0.37670915768452001</v>
      </c>
      <c r="X101" s="14">
        <f t="shared" si="649"/>
        <v>6.7345852259753096</v>
      </c>
      <c r="Y101" s="14">
        <f t="shared" si="653"/>
        <v>7.8620302663362098</v>
      </c>
      <c r="Z101" s="14">
        <f t="shared" si="648"/>
        <v>8.4658442020564895</v>
      </c>
      <c r="AK101" s="14" t="e">
        <v>#NAME?</v>
      </c>
      <c r="AL101" s="14" t="e">
        <v>#NAME?</v>
      </c>
      <c r="AM101" s="14" t="e">
        <v>#NAME?</v>
      </c>
    </row>
    <row r="102">
      <c r="A102" s="15">
        <f t="shared" si="654"/>
        <v>99</v>
      </c>
      <c r="B102">
        <v>6.7345852259753123</v>
      </c>
      <c r="D102" s="8">
        <v>1</v>
      </c>
      <c r="E102">
        <f t="shared" si="655"/>
        <v>7.8620302663362098</v>
      </c>
      <c r="F102" s="9">
        <f t="shared" ref="F102:F103" si="656">B100</f>
        <v>7.5168005751827103</v>
      </c>
      <c r="H102" s="10">
        <f t="shared" si="650"/>
        <v>6.7345852259753096</v>
      </c>
      <c r="L102">
        <f t="shared" si="651"/>
        <v>6.7345852259753096</v>
      </c>
      <c r="M102">
        <f t="shared" ref="M102:M103" si="657">J$6+L101*J$7+L100*J$8</f>
        <v>7.3896001085918401</v>
      </c>
      <c r="N102">
        <f t="shared" si="652"/>
        <v>-0.65501488261653096</v>
      </c>
    </row>
    <row r="103">
      <c r="A103" s="15">
        <f t="shared" si="654"/>
        <v>100</v>
      </c>
      <c r="B103" s="14">
        <v>8.4658442020564895</v>
      </c>
      <c r="D103" s="11">
        <v>1</v>
      </c>
      <c r="E103" s="14">
        <f t="shared" si="655"/>
        <v>6.7345852259753096</v>
      </c>
      <c r="F103" s="12">
        <f t="shared" si="656"/>
        <v>7.8620302663362098</v>
      </c>
      <c r="H103" s="13">
        <f t="shared" si="650"/>
        <v>8.4658442020564895</v>
      </c>
      <c r="L103" s="14">
        <f t="shared" si="651"/>
        <v>8.4658442020564895</v>
      </c>
      <c r="M103" s="14">
        <f t="shared" si="657"/>
        <v>6.8229592508439296</v>
      </c>
      <c r="N103" s="14">
        <f t="shared" si="652"/>
        <v>1.6428849512125601</v>
      </c>
    </row>
  </sheetData>
  <mergeCells count="1">
    <mergeCell ref="D3:F3"/>
  </mergeCells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2678570000000002"/>
    <col customWidth="1" min="5" max="5" width="6.2678570000000002"/>
  </cols>
  <sheetData>
    <row r="1">
      <c r="A1" s="1" t="s">
        <v>463</v>
      </c>
    </row>
    <row r="2" ht="11.25" customHeight="1"/>
    <row r="3">
      <c r="B3" s="4" t="s">
        <v>342</v>
      </c>
      <c r="C3" s="4" t="s">
        <v>343</v>
      </c>
      <c r="D3" s="4" t="s">
        <v>451</v>
      </c>
      <c r="F3" s="15" t="s">
        <v>441</v>
      </c>
    </row>
    <row r="4">
      <c r="A4">
        <v>1</v>
      </c>
      <c r="B4">
        <v>-0.47324253014025192</v>
      </c>
      <c r="C4">
        <f>5+0.4*0-0.1*0+B4</f>
        <v>4.5267574698597501</v>
      </c>
    </row>
    <row r="5">
      <c r="A5">
        <f t="shared" ref="A5:A10" si="658">A4+1</f>
        <v>2</v>
      </c>
      <c r="B5">
        <v>8.2667789568597605e-02</v>
      </c>
      <c r="C5">
        <f>5+0.4*C4-0.1*0+B5</f>
        <v>6.8933707775124997</v>
      </c>
      <c r="F5" s="7">
        <v>5.0109466210282889</v>
      </c>
    </row>
    <row r="6">
      <c r="A6">
        <f t="shared" si="658"/>
        <v>3</v>
      </c>
      <c r="B6">
        <v>1.1207225535485554</v>
      </c>
      <c r="C6">
        <f t="shared" ref="C6:C9" si="659">5+0.4*C5-0.1*C4+B6</f>
        <v>8.4253951175675894</v>
      </c>
      <c r="D6">
        <f t="shared" ref="D6:D10" si="660">$F$5+C5*$F$6+C4*$F$7</f>
        <v>7.4236069485951299</v>
      </c>
      <c r="F6" s="10">
        <v>0.45406332821470841</v>
      </c>
    </row>
    <row r="7">
      <c r="A7">
        <f t="shared" si="658"/>
        <v>4</v>
      </c>
      <c r="B7">
        <v>-0.68131888228678594</v>
      </c>
      <c r="C7">
        <f t="shared" si="659"/>
        <v>6.9995020869890103</v>
      </c>
      <c r="D7">
        <f t="shared" si="660"/>
        <v>7.7441999038976004</v>
      </c>
      <c r="F7" s="13">
        <v>-0.15847249495138638</v>
      </c>
    </row>
    <row r="8">
      <c r="A8">
        <f t="shared" si="658"/>
        <v>5</v>
      </c>
      <c r="B8">
        <v>-0.7696671614087579</v>
      </c>
      <c r="C8">
        <f t="shared" si="659"/>
        <v>6.1875941616300798</v>
      </c>
      <c r="D8">
        <f t="shared" si="660"/>
        <v>6.8539704492601601</v>
      </c>
    </row>
    <row r="9">
      <c r="A9">
        <f t="shared" si="658"/>
        <v>6</v>
      </c>
      <c r="B9">
        <v>-0.96211098507331005</v>
      </c>
      <c r="C9">
        <f t="shared" si="659"/>
        <v>5.8129764708798204</v>
      </c>
      <c r="D9">
        <f t="shared" si="660"/>
        <v>6.7112776605573599</v>
      </c>
      <c r="F9" s="15" t="s">
        <v>464</v>
      </c>
    </row>
    <row r="10">
      <c r="A10">
        <f t="shared" si="658"/>
        <v>7</v>
      </c>
      <c r="B10">
        <v>0.41364151532991678</v>
      </c>
      <c r="C10">
        <f>5+0.4*C9-0.1*C8+B10</f>
        <v>7.1200726875188396</v>
      </c>
      <c r="D10">
        <f t="shared" si="660"/>
        <v>6.6698425796896199</v>
      </c>
      <c r="F10" s="18">
        <f>SUMXMY2(C6:C103,D6:D103)</f>
        <v>98.440741354225494</v>
      </c>
    </row>
    <row r="11">
      <c r="A11">
        <f t="shared" ref="A11:A74" si="661">A10+1</f>
        <v>8</v>
      </c>
      <c r="B11">
        <v>1.2351835053545517</v>
      </c>
      <c r="C11">
        <f>5+0.4*C10-0.1*C9+B11</f>
        <v>8.5019149332741097</v>
      </c>
      <c r="D11">
        <f>$F$5+C10*$F$6+C9*$F$7</f>
        <v>7.3227136382197102</v>
      </c>
    </row>
    <row r="12">
      <c r="A12">
        <f t="shared" si="661"/>
        <v>9</v>
      </c>
      <c r="B12">
        <v>-0.38753659937569779</v>
      </c>
      <c r="C12">
        <f t="shared" ref="C12:C75" si="662">5+0.4*C11-0.1*C10+B12</f>
        <v>7.3012221051820596</v>
      </c>
      <c r="D12">
        <f t="shared" ref="D12:D75" si="663">$F$5+C11*$F$6+C10*$F$7</f>
        <v>7.7430187288027303</v>
      </c>
      <c r="F12" s="15" t="s">
        <v>465</v>
      </c>
      <c r="G12" t="s">
        <v>453</v>
      </c>
    </row>
    <row r="13">
      <c r="A13">
        <f t="shared" si="661"/>
        <v>10</v>
      </c>
      <c r="B13">
        <v>-1.0314205193621426</v>
      </c>
      <c r="C13">
        <f t="shared" si="662"/>
        <v>6.0388768293832698</v>
      </c>
      <c r="D13">
        <f t="shared" si="663"/>
        <v>6.9788441588016603</v>
      </c>
      <c r="F13" s="18">
        <f>ABS(F7)</f>
        <v>0.15847249495138599</v>
      </c>
    </row>
    <row r="14">
      <c r="A14">
        <f t="shared" si="661"/>
        <v>11</v>
      </c>
      <c r="B14">
        <v>-1.9393388320973126</v>
      </c>
      <c r="C14">
        <f t="shared" si="662"/>
        <v>4.7460896891377899</v>
      </c>
      <c r="D14">
        <f t="shared" si="663"/>
        <v>6.5959362496543301</v>
      </c>
    </row>
    <row r="15">
      <c r="A15">
        <f t="shared" si="661"/>
        <v>12</v>
      </c>
      <c r="B15">
        <v>0.35912852564205311</v>
      </c>
      <c r="C15">
        <f t="shared" si="662"/>
        <v>6.6536767183588399</v>
      </c>
      <c r="D15">
        <f t="shared" si="663"/>
        <v>6.20897602342722</v>
      </c>
      <c r="F15" s="15" t="s">
        <v>466</v>
      </c>
      <c r="G15" t="s">
        <v>453</v>
      </c>
    </row>
    <row r="16">
      <c r="A16">
        <f t="shared" si="661"/>
        <v>13</v>
      </c>
      <c r="B16">
        <v>1.0071142010572025</v>
      </c>
      <c r="C16">
        <f t="shared" si="662"/>
        <v>8.1939759194869595</v>
      </c>
      <c r="D16">
        <f t="shared" si="663"/>
        <v>7.2800125423303097</v>
      </c>
      <c r="F16" s="18">
        <f>ABS(F6)+F7</f>
        <v>0.29559083326332197</v>
      </c>
    </row>
    <row r="17">
      <c r="A17">
        <f t="shared" si="661"/>
        <v>14</v>
      </c>
      <c r="B17">
        <v>-5.1959162489554032e-02</v>
      </c>
      <c r="C17">
        <f t="shared" si="662"/>
        <v>7.5602635334693504</v>
      </c>
      <c r="D17">
        <f t="shared" si="663"/>
        <v>7.6771058481834302</v>
      </c>
    </row>
    <row r="18">
      <c r="A18">
        <f t="shared" si="661"/>
        <v>15</v>
      </c>
      <c r="B18">
        <v>-0.41025652430283605</v>
      </c>
      <c r="C18">
        <f t="shared" si="662"/>
        <v>6.7944512971362103</v>
      </c>
      <c r="D18">
        <f t="shared" si="663"/>
        <v>7.1452652356829898</v>
      </c>
    </row>
    <row r="19">
      <c r="A19">
        <f t="shared" si="661"/>
        <v>16</v>
      </c>
      <c r="B19">
        <v>-2.2372876303491598</v>
      </c>
      <c r="C19">
        <f t="shared" si="662"/>
        <v>4.7244665351583901</v>
      </c>
      <c r="D19">
        <f t="shared" si="663"/>
        <v>6.8979639657598302</v>
      </c>
    </row>
    <row r="20">
      <c r="A20">
        <f t="shared" si="661"/>
        <v>17</v>
      </c>
      <c r="B20">
        <v>-0.18318635781115453</v>
      </c>
      <c r="C20">
        <f t="shared" si="662"/>
        <v>6.0271551265385899</v>
      </c>
      <c r="D20">
        <f t="shared" si="663"/>
        <v>6.07941997113846</v>
      </c>
    </row>
    <row r="21">
      <c r="A21">
        <f t="shared" si="661"/>
        <v>18</v>
      </c>
      <c r="B21">
        <v>0.18749462876249157</v>
      </c>
      <c r="C21">
        <f t="shared" si="662"/>
        <v>7.1259100258620904</v>
      </c>
      <c r="D21">
        <f t="shared" si="663"/>
        <v>6.9989587383098604</v>
      </c>
    </row>
    <row r="22">
      <c r="A22">
        <f t="shared" si="661"/>
        <v>19</v>
      </c>
      <c r="B22">
        <v>-5.6400668198823042e-02</v>
      </c>
      <c r="C22">
        <f t="shared" si="662"/>
        <v>7.19124782949216</v>
      </c>
      <c r="D22">
        <f t="shared" si="663"/>
        <v>7.2914227335681803</v>
      </c>
    </row>
    <row r="23">
      <c r="A23">
        <f t="shared" si="661"/>
        <v>20</v>
      </c>
      <c r="B23">
        <v>-0.48121649086566337</v>
      </c>
      <c r="C23">
        <f t="shared" si="662"/>
        <v>6.6826916383449904</v>
      </c>
      <c r="D23">
        <f t="shared" si="663"/>
        <v>7.1469678039068398</v>
      </c>
    </row>
    <row r="24">
      <c r="A24">
        <f t="shared" si="661"/>
        <v>21</v>
      </c>
      <c r="B24">
        <v>-0.38179474938688318</v>
      </c>
      <c r="C24">
        <f t="shared" si="662"/>
        <v>6.5721571230019</v>
      </c>
      <c r="D24">
        <f t="shared" si="663"/>
        <v>6.9056968424144598</v>
      </c>
    </row>
    <row r="25">
      <c r="A25">
        <f t="shared" si="661"/>
        <v>22</v>
      </c>
      <c r="B25">
        <v>-0.20785477186378326</v>
      </c>
      <c r="C25">
        <f t="shared" si="662"/>
        <v>6.7527389135024798</v>
      </c>
      <c r="D25">
        <f t="shared" si="663"/>
        <v>6.9360993409292302</v>
      </c>
    </row>
    <row r="26">
      <c r="A26">
        <f t="shared" si="661"/>
        <v>23</v>
      </c>
      <c r="B26">
        <v>-1.3964797995563232</v>
      </c>
      <c r="C26">
        <f t="shared" si="662"/>
        <v>5.6474000535444802</v>
      </c>
      <c r="D26">
        <f t="shared" si="663"/>
        <v>7.0356115901635699</v>
      </c>
    </row>
    <row r="27">
      <c r="A27">
        <f t="shared" si="661"/>
        <v>24</v>
      </c>
      <c r="B27">
        <v>-0.10631712587124005</v>
      </c>
      <c r="C27">
        <f t="shared" si="662"/>
        <v>6.4773690041962997</v>
      </c>
      <c r="D27">
        <f t="shared" si="663"/>
        <v>6.5051005017225698</v>
      </c>
    </row>
    <row r="28">
      <c r="A28">
        <f t="shared" si="661"/>
        <v>25</v>
      </c>
      <c r="B28">
        <v>0.26416614209328254</v>
      </c>
      <c r="C28">
        <f t="shared" si="662"/>
        <v>7.2903737384173501</v>
      </c>
      <c r="D28">
        <f t="shared" si="663"/>
        <v>7.05712477267467</v>
      </c>
    </row>
    <row r="29">
      <c r="A29">
        <f t="shared" si="661"/>
        <v>26</v>
      </c>
      <c r="B29">
        <v>0.56209410321803166</v>
      </c>
      <c r="C29">
        <f t="shared" si="662"/>
        <v>7.8305066981653404</v>
      </c>
      <c r="D29">
        <f t="shared" si="663"/>
        <v>7.2947531578074196</v>
      </c>
    </row>
    <row r="30">
      <c r="A30">
        <f t="shared" si="661"/>
        <v>27</v>
      </c>
      <c r="B30">
        <v>0.34951765278906405</v>
      </c>
      <c r="C30">
        <f t="shared" si="662"/>
        <v>7.7526829582134704</v>
      </c>
      <c r="D30">
        <f t="shared" si="663"/>
        <v>7.4111688385497496</v>
      </c>
    </row>
    <row r="31">
      <c r="A31">
        <f t="shared" si="661"/>
        <v>28</v>
      </c>
      <c r="B31">
        <v>-1.4196432813369184</v>
      </c>
      <c r="C31">
        <f t="shared" si="662"/>
        <v>5.8983792321319397</v>
      </c>
      <c r="D31">
        <f t="shared" si="663"/>
        <v>7.2902357144363501</v>
      </c>
    </row>
    <row r="32">
      <c r="A32">
        <f t="shared" si="661"/>
        <v>29</v>
      </c>
      <c r="B32">
        <v>0.41292682554218701</v>
      </c>
      <c r="C32">
        <f t="shared" si="662"/>
        <v>6.9970102225736204</v>
      </c>
      <c r="D32">
        <f t="shared" si="663"/>
        <v>6.4605973152874503</v>
      </c>
    </row>
    <row r="33">
      <c r="A33">
        <f t="shared" si="661"/>
        <v>30</v>
      </c>
      <c r="B33">
        <v>0.35807000330701766</v>
      </c>
      <c r="C33">
        <f t="shared" si="662"/>
        <v>7.5670361691232797</v>
      </c>
      <c r="D33">
        <f t="shared" si="663"/>
        <v>7.2533014971570102</v>
      </c>
    </row>
    <row r="34">
      <c r="A34">
        <f t="shared" si="661"/>
        <v>31</v>
      </c>
      <c r="B34">
        <v>-1.3945310478710271</v>
      </c>
      <c r="C34">
        <f t="shared" si="662"/>
        <v>5.9325823975209202</v>
      </c>
      <c r="D34">
        <f t="shared" si="663"/>
        <v>7.3380265815298902</v>
      </c>
    </row>
    <row r="35">
      <c r="A35">
        <f t="shared" si="661"/>
        <v>32</v>
      </c>
      <c r="B35">
        <v>-0.3446553575860089</v>
      </c>
      <c r="C35">
        <f t="shared" si="662"/>
        <v>6.2716739845100298</v>
      </c>
      <c r="D35">
        <f t="shared" si="663"/>
        <v>6.5055476282462896</v>
      </c>
    </row>
    <row r="36">
      <c r="A36">
        <f t="shared" si="661"/>
        <v>33</v>
      </c>
      <c r="B36">
        <v>0.6773260419350895</v>
      </c>
      <c r="C36">
        <f t="shared" si="662"/>
        <v>7.5927373959870099</v>
      </c>
      <c r="D36">
        <f t="shared" si="663"/>
        <v>6.9185326498726996</v>
      </c>
    </row>
    <row r="37">
      <c r="A37">
        <f t="shared" si="661"/>
        <v>34</v>
      </c>
      <c r="B37">
        <v>-0.33272164613616745</v>
      </c>
      <c r="C37">
        <f t="shared" si="662"/>
        <v>7.0772059138076298</v>
      </c>
      <c r="D37">
        <f t="shared" si="663"/>
        <v>7.4646424094634298</v>
      </c>
    </row>
    <row r="38">
      <c r="A38">
        <f t="shared" si="661"/>
        <v>35</v>
      </c>
      <c r="B38">
        <v>0.16193253442993721</v>
      </c>
      <c r="C38">
        <f t="shared" si="662"/>
        <v>7.2335411603542896</v>
      </c>
      <c r="D38">
        <f t="shared" si="663"/>
        <v>7.0212062540598499</v>
      </c>
    </row>
    <row r="39">
      <c r="A39">
        <f t="shared" si="661"/>
        <v>36</v>
      </c>
      <c r="B39">
        <v>2.0958988923338446</v>
      </c>
      <c r="C39">
        <f t="shared" si="662"/>
        <v>9.2815947650948107</v>
      </c>
      <c r="D39">
        <f t="shared" si="663"/>
        <v>7.1738899166310404</v>
      </c>
    </row>
    <row r="40">
      <c r="A40">
        <f t="shared" si="661"/>
        <v>37</v>
      </c>
      <c r="B40">
        <v>0.13687130286193497</v>
      </c>
      <c r="C40">
        <f t="shared" si="662"/>
        <v>8.1261550928644404</v>
      </c>
      <c r="D40">
        <f t="shared" si="663"/>
        <v>8.0790611161925607</v>
      </c>
    </row>
    <row r="41">
      <c r="A41">
        <f t="shared" si="661"/>
        <v>38</v>
      </c>
      <c r="B41">
        <v>0.15164038123128817</v>
      </c>
      <c r="C41">
        <f t="shared" si="662"/>
        <v>7.4739429418675902</v>
      </c>
      <c r="D41">
        <f t="shared" si="663"/>
        <v>7.22985816853092</v>
      </c>
    </row>
    <row r="42">
      <c r="A42">
        <f t="shared" si="661"/>
        <v>39</v>
      </c>
      <c r="B42">
        <v>-1.3286774610778544</v>
      </c>
      <c r="C42">
        <f t="shared" si="662"/>
        <v>5.8482842063827496</v>
      </c>
      <c r="D42">
        <f t="shared" si="663"/>
        <v>7.1168179561713698</v>
      </c>
    </row>
    <row r="43">
      <c r="A43">
        <f t="shared" si="661"/>
        <v>40</v>
      </c>
      <c r="B43">
        <v>-1.6831783661549446</v>
      </c>
      <c r="C43">
        <f t="shared" si="662"/>
        <v>4.9087410222113999</v>
      </c>
      <c r="D43">
        <f t="shared" si="663"/>
        <v>6.4820236270018903</v>
      </c>
    </row>
    <row r="44">
      <c r="A44">
        <f t="shared" si="661"/>
        <v>41</v>
      </c>
      <c r="B44">
        <v>2.1773330001221294</v>
      </c>
      <c r="C44">
        <f t="shared" si="662"/>
        <v>8.5560009883684192</v>
      </c>
      <c r="D44">
        <f t="shared" si="663"/>
        <v>6.3130337175474098</v>
      </c>
    </row>
    <row r="45">
      <c r="A45">
        <f t="shared" si="661"/>
        <v>42</v>
      </c>
      <c r="B45">
        <v>0.84300462021271172</v>
      </c>
      <c r="C45">
        <f t="shared" si="662"/>
        <v>8.7745309133389409</v>
      </c>
      <c r="D45">
        <f t="shared" si="663"/>
        <v>8.1180124691551292</v>
      </c>
    </row>
    <row r="46">
      <c r="A46">
        <f t="shared" si="661"/>
        <v>43</v>
      </c>
      <c r="B46">
        <v>-0.11653470961109491</v>
      </c>
      <c r="C46">
        <f t="shared" si="662"/>
        <v>7.5376775568876502</v>
      </c>
      <c r="D46">
        <f t="shared" si="663"/>
        <v>7.6392485076285404</v>
      </c>
    </row>
    <row r="47">
      <c r="A47">
        <f t="shared" si="661"/>
        <v>44</v>
      </c>
      <c r="B47">
        <v>1.1335178378349215</v>
      </c>
      <c r="C47">
        <f t="shared" si="662"/>
        <v>8.2711357692560892</v>
      </c>
      <c r="D47">
        <f t="shared" si="663"/>
        <v>7.0430077736531196</v>
      </c>
    </row>
    <row r="48">
      <c r="A48">
        <f t="shared" si="661"/>
        <v>45</v>
      </c>
      <c r="B48">
        <v>2.0614058880224517</v>
      </c>
      <c r="C48">
        <f t="shared" si="662"/>
        <v>9.6160924400361303</v>
      </c>
      <c r="D48">
        <f t="shared" si="663"/>
        <v>7.57205148795338</v>
      </c>
    </row>
    <row r="49">
      <c r="A49">
        <f t="shared" si="661"/>
        <v>46</v>
      </c>
      <c r="B49">
        <v>1.1006258259814818</v>
      </c>
      <c r="C49">
        <f t="shared" si="662"/>
        <v>9.1199492250703198</v>
      </c>
      <c r="D49">
        <f t="shared" si="663"/>
        <v>8.0665140373357307</v>
      </c>
    </row>
    <row r="50">
      <c r="A50">
        <f t="shared" si="661"/>
        <v>47</v>
      </c>
      <c r="B50">
        <v>-0.11243048824424991</v>
      </c>
      <c r="C50">
        <f t="shared" si="662"/>
        <v>7.5739399577802704</v>
      </c>
      <c r="D50">
        <f t="shared" si="663"/>
        <v>7.6280949586571802</v>
      </c>
    </row>
    <row r="51">
      <c r="A51">
        <f t="shared" si="661"/>
        <v>48</v>
      </c>
      <c r="B51">
        <v>0.89967999134606913</v>
      </c>
      <c r="C51">
        <f t="shared" si="662"/>
        <v>8.0172610519511505</v>
      </c>
      <c r="D51">
        <f t="shared" si="663"/>
        <v>7.00473389842952</v>
      </c>
    </row>
    <row r="52">
      <c r="A52">
        <f t="shared" si="661"/>
        <v>49</v>
      </c>
      <c r="B52">
        <v>-0.73154188371208884</v>
      </c>
      <c r="C52">
        <f t="shared" si="662"/>
        <v>6.7179685412903396</v>
      </c>
      <c r="D52">
        <f t="shared" si="663"/>
        <v>7.4510296957219504</v>
      </c>
    </row>
    <row r="53">
      <c r="A53">
        <f t="shared" si="661"/>
        <v>50</v>
      </c>
      <c r="B53">
        <v>0.74598633697981309</v>
      </c>
      <c r="C53">
        <f t="shared" si="662"/>
        <v>7.6314476483008402</v>
      </c>
      <c r="D53">
        <f t="shared" si="663"/>
        <v>6.7908144141490201</v>
      </c>
    </row>
    <row r="54">
      <c r="A54">
        <f t="shared" si="661"/>
        <v>51</v>
      </c>
      <c r="B54">
        <v>-0.42642490989986637</v>
      </c>
      <c r="C54">
        <f t="shared" si="662"/>
        <v>6.9543572952914499</v>
      </c>
      <c r="D54">
        <f t="shared" si="663"/>
        <v>7.4114939035688803</v>
      </c>
    </row>
    <row r="55">
      <c r="A55">
        <f t="shared" si="661"/>
        <v>52</v>
      </c>
      <c r="B55">
        <v>-0.41011257152708913</v>
      </c>
      <c r="C55">
        <f t="shared" si="662"/>
        <v>6.6084855817594104</v>
      </c>
      <c r="D55">
        <f t="shared" si="663"/>
        <v>6.9592906912054397</v>
      </c>
    </row>
    <row r="56">
      <c r="A56">
        <f t="shared" si="661"/>
        <v>53</v>
      </c>
      <c r="B56">
        <v>-0.49783542260902636</v>
      </c>
      <c r="C56">
        <f t="shared" si="662"/>
        <v>6.4501230805655903</v>
      </c>
      <c r="D56">
        <f t="shared" si="663"/>
        <v>6.9095432273726702</v>
      </c>
    </row>
    <row r="57">
      <c r="A57">
        <f t="shared" si="661"/>
        <v>54</v>
      </c>
      <c r="B57">
        <v>0.76871122871467412</v>
      </c>
      <c r="C57">
        <f t="shared" si="662"/>
        <v>7.6879119027649701</v>
      </c>
      <c r="D57">
        <f t="shared" si="663"/>
        <v>6.8924477763927303</v>
      </c>
    </row>
    <row r="58">
      <c r="A58">
        <f t="shared" si="661"/>
        <v>55</v>
      </c>
      <c r="B58">
        <v>-1.6365342070552806</v>
      </c>
      <c r="C58">
        <f t="shared" si="662"/>
        <v>5.7936182459941499</v>
      </c>
      <c r="D58">
        <f t="shared" si="663"/>
        <v>7.47957838929847</v>
      </c>
    </row>
    <row r="59">
      <c r="A59">
        <f t="shared" si="661"/>
        <v>56</v>
      </c>
      <c r="B59">
        <v>1.1312536481777808e-02</v>
      </c>
      <c r="C59">
        <f t="shared" si="662"/>
        <v>6.5599686446029404</v>
      </c>
      <c r="D59">
        <f t="shared" si="663"/>
        <v>6.4232936240122296</v>
      </c>
    </row>
    <row r="60">
      <c r="A60">
        <f t="shared" si="661"/>
        <v>57</v>
      </c>
      <c r="B60">
        <v>1.0056243592004324</v>
      </c>
      <c r="C60">
        <f t="shared" si="662"/>
        <v>8.0502499924422004</v>
      </c>
      <c r="D60">
        <f t="shared" si="663"/>
        <v>7.0714586785422604</v>
      </c>
    </row>
    <row r="61">
      <c r="A61">
        <f t="shared" si="661"/>
        <v>58</v>
      </c>
      <c r="B61">
        <v>-1.4480389039930932</v>
      </c>
      <c r="C61">
        <f t="shared" si="662"/>
        <v>6.1160642285235003</v>
      </c>
      <c r="D61">
        <f t="shared" si="663"/>
        <v>7.6266953276439304</v>
      </c>
    </row>
    <row r="62">
      <c r="A62">
        <f t="shared" si="661"/>
        <v>59</v>
      </c>
      <c r="B62">
        <v>7.1484695132023712e-02</v>
      </c>
      <c r="C62">
        <f t="shared" si="662"/>
        <v>6.7128853872971996</v>
      </c>
      <c r="D62">
        <f t="shared" si="663"/>
        <v>6.5122838989218996</v>
      </c>
    </row>
    <row r="63">
      <c r="A63">
        <f t="shared" si="661"/>
        <v>60</v>
      </c>
      <c r="B63">
        <v>-0.10077857436046947</v>
      </c>
      <c r="C63">
        <f t="shared" si="662"/>
        <v>6.9727691577060602</v>
      </c>
      <c r="D63">
        <f t="shared" si="663"/>
        <v>7.0897937443312999</v>
      </c>
    </row>
    <row r="64">
      <c r="A64">
        <f t="shared" si="661"/>
        <v>61</v>
      </c>
      <c r="B64">
        <v>-1.725637170375401</v>
      </c>
      <c r="C64">
        <f t="shared" si="662"/>
        <v>5.3921819539772997</v>
      </c>
      <c r="D64">
        <f t="shared" si="663"/>
        <v>7.1132176960014801</v>
      </c>
    </row>
    <row r="65">
      <c r="A65">
        <f t="shared" si="661"/>
        <v>62</v>
      </c>
      <c r="B65">
        <v>-1.179892282500298</v>
      </c>
      <c r="C65">
        <f t="shared" si="662"/>
        <v>5.2797035833200097</v>
      </c>
      <c r="D65">
        <f t="shared" si="663"/>
        <v>6.3543465802487598</v>
      </c>
    </row>
    <row r="66">
      <c r="A66">
        <f t="shared" si="661"/>
        <v>63</v>
      </c>
      <c r="B66">
        <v>0.89714189254889531</v>
      </c>
      <c r="C66">
        <f t="shared" si="662"/>
        <v>7.4698051304791697</v>
      </c>
      <c r="D66">
        <f t="shared" si="663"/>
        <v>6.55375387457907</v>
      </c>
    </row>
    <row r="67">
      <c r="A67">
        <f t="shared" si="661"/>
        <v>64</v>
      </c>
      <c r="B67">
        <v>-2.1053252206398696</v>
      </c>
      <c r="C67">
        <f t="shared" si="662"/>
        <v>5.3546264732197999</v>
      </c>
      <c r="D67">
        <f t="shared" si="663"/>
        <v>7.5660234002364701</v>
      </c>
    </row>
    <row r="68">
      <c r="A68">
        <f t="shared" si="661"/>
        <v>65</v>
      </c>
      <c r="B68">
        <v>0.99139292864806661</v>
      </c>
      <c r="C68">
        <f t="shared" si="662"/>
        <v>7.38626300488807</v>
      </c>
      <c r="D68">
        <f t="shared" si="663"/>
        <v>6.2585274829773603</v>
      </c>
    </row>
    <row r="69">
      <c r="A69">
        <f t="shared" si="661"/>
        <v>66</v>
      </c>
      <c r="B69">
        <v>1.4979503123490685</v>
      </c>
      <c r="C69">
        <f t="shared" si="662"/>
        <v>8.9169928669823193</v>
      </c>
      <c r="D69">
        <f t="shared" si="663"/>
        <v>7.5162167673530602</v>
      </c>
    </row>
    <row r="70">
      <c r="A70">
        <f t="shared" si="661"/>
        <v>67</v>
      </c>
      <c r="B70">
        <v>0.20183810054931067</v>
      </c>
      <c r="C70">
        <f t="shared" si="662"/>
        <v>8.0300089468534299</v>
      </c>
      <c r="D70">
        <f t="shared" si="663"/>
        <v>7.8893065531253601</v>
      </c>
    </row>
    <row r="71">
      <c r="A71">
        <f t="shared" si="661"/>
        <v>68</v>
      </c>
      <c r="B71">
        <v>0.89484002117632522</v>
      </c>
      <c r="C71">
        <f t="shared" si="662"/>
        <v>8.2151443132194704</v>
      </c>
      <c r="D71">
        <f t="shared" si="663"/>
        <v>7.2439811019360398</v>
      </c>
    </row>
    <row r="72">
      <c r="A72">
        <f t="shared" si="661"/>
        <v>69</v>
      </c>
      <c r="B72">
        <v>-1.0009082850046127</v>
      </c>
      <c r="C72">
        <f t="shared" si="662"/>
        <v>6.4821485455978403</v>
      </c>
      <c r="D72">
        <f t="shared" si="663"/>
        <v>7.4686068373630503</v>
      </c>
    </row>
    <row r="73">
      <c r="A73">
        <f t="shared" si="661"/>
        <v>70</v>
      </c>
      <c r="B73">
        <v>1.8556544847684977</v>
      </c>
      <c r="C73">
        <f t="shared" si="662"/>
        <v>8.6269994716856893</v>
      </c>
      <c r="D73">
        <f t="shared" si="663"/>
        <v>6.65237814792299</v>
      </c>
    </row>
    <row r="74">
      <c r="A74">
        <f t="shared" si="661"/>
        <v>71</v>
      </c>
      <c r="B74">
        <v>1.4914582596580135</v>
      </c>
      <c r="C74">
        <f t="shared" si="662"/>
        <v>9.2940431937725094</v>
      </c>
      <c r="D74">
        <f t="shared" si="663"/>
        <v>7.9009084609820297</v>
      </c>
    </row>
    <row r="75">
      <c r="A75">
        <f t="shared" ref="A75:A100" si="664">A74+1</f>
        <v>72</v>
      </c>
      <c r="B75">
        <v>0.55887199260532749</v>
      </c>
      <c r="C75">
        <f t="shared" si="662"/>
        <v>8.4137893229457603</v>
      </c>
      <c r="D75">
        <f t="shared" si="663"/>
        <v>7.8638886759415696</v>
      </c>
    </row>
    <row r="76">
      <c r="A76">
        <f t="shared" si="664"/>
        <v>73</v>
      </c>
      <c r="B76">
        <v>2.2256149329632144</v>
      </c>
      <c r="C76">
        <f t="shared" ref="C76:C99" si="665">5+0.4*C75-0.1*C74+B76</f>
        <v>9.6617263427642595</v>
      </c>
      <c r="D76">
        <f t="shared" ref="D76:D100" si="666">$F$5+C75*$F$6+C74*$F$7</f>
        <v>7.3584895907993397</v>
      </c>
    </row>
    <row r="77">
      <c r="A77">
        <f t="shared" si="664"/>
        <v>74</v>
      </c>
      <c r="B77">
        <v>0.33039836348496526</v>
      </c>
      <c r="C77">
        <f t="shared" si="665"/>
        <v>8.3537099682960996</v>
      </c>
      <c r="D77">
        <f t="shared" si="666"/>
        <v>8.0646280545210001</v>
      </c>
    </row>
    <row r="78">
      <c r="A78">
        <f t="shared" si="664"/>
        <v>75</v>
      </c>
      <c r="B78">
        <v>-0.3625948843394724</v>
      </c>
      <c r="C78">
        <f t="shared" si="665"/>
        <v>7.0127164687025498</v>
      </c>
      <c r="D78">
        <f t="shared" si="666"/>
        <v>7.2729420930978197</v>
      </c>
    </row>
    <row r="79">
      <c r="A79">
        <f t="shared" si="664"/>
        <v>76</v>
      </c>
      <c r="B79">
        <v>1.9818619329053881</v>
      </c>
      <c r="C79">
        <f t="shared" si="665"/>
        <v>8.9515775235568</v>
      </c>
      <c r="D79">
        <f t="shared" si="666"/>
        <v>6.87133073985731</v>
      </c>
    </row>
    <row r="80">
      <c r="A80">
        <f t="shared" si="664"/>
        <v>77</v>
      </c>
      <c r="B80">
        <v>-9.2253382281325291e-02</v>
      </c>
      <c r="C80">
        <f t="shared" si="665"/>
        <v>7.78710598027115</v>
      </c>
      <c r="D80">
        <f t="shared" si="666"/>
        <v>7.9642070289645002</v>
      </c>
    </row>
    <row r="81">
      <c r="A81">
        <f t="shared" si="664"/>
        <v>78</v>
      </c>
      <c r="B81">
        <v>-1.2282384514060356</v>
      </c>
      <c r="C81">
        <f t="shared" si="665"/>
        <v>5.9914461883467398</v>
      </c>
      <c r="D81">
        <f t="shared" si="666"/>
        <v>7.1282070556820702</v>
      </c>
    </row>
    <row r="82">
      <c r="A82">
        <f t="shared" si="664"/>
        <v>79</v>
      </c>
      <c r="B82">
        <v>-0.5707665331198899</v>
      </c>
      <c r="C82">
        <f t="shared" si="665"/>
        <v>6.0471013441916996</v>
      </c>
      <c r="D82">
        <f t="shared" si="666"/>
        <v>6.4974005049839096</v>
      </c>
    </row>
    <row r="83">
      <c r="A83">
        <f t="shared" si="664"/>
        <v>80</v>
      </c>
      <c r="B83">
        <v>-0.62029379211375901</v>
      </c>
      <c r="C83">
        <f t="shared" si="665"/>
        <v>6.1994021267282502</v>
      </c>
      <c r="D83">
        <f t="shared" si="666"/>
        <v>6.8072341575893303</v>
      </c>
    </row>
    <row r="84">
      <c r="A84">
        <f t="shared" si="664"/>
        <v>81</v>
      </c>
      <c r="B84">
        <v>0.89519537380514402</v>
      </c>
      <c r="C84">
        <f t="shared" si="665"/>
        <v>7.7702460900772801</v>
      </c>
      <c r="D84">
        <f t="shared" si="666"/>
        <v>6.8675685463939198</v>
      </c>
    </row>
    <row r="85">
      <c r="A85">
        <f t="shared" si="664"/>
        <v>82</v>
      </c>
      <c r="B85">
        <v>-0.65328626333731554</v>
      </c>
      <c r="C85">
        <f t="shared" si="665"/>
        <v>6.8348719600207701</v>
      </c>
      <c r="D85">
        <f t="shared" si="666"/>
        <v>7.55669569950655</v>
      </c>
    </row>
    <row r="86">
      <c r="A86">
        <f t="shared" si="664"/>
        <v>83</v>
      </c>
      <c r="B86">
        <v>0.37180332410663047</v>
      </c>
      <c r="C86">
        <f t="shared" si="665"/>
        <v>7.3287274991072104</v>
      </c>
      <c r="D86">
        <f t="shared" si="666"/>
        <v>6.8830410468359098</v>
      </c>
    </row>
    <row r="87">
      <c r="A87">
        <f t="shared" si="664"/>
        <v>84</v>
      </c>
      <c r="B87">
        <v>-0.42871860170373727</v>
      </c>
      <c r="C87">
        <f t="shared" si="665"/>
        <v>6.8192852019370598</v>
      </c>
      <c r="D87">
        <f t="shared" si="666"/>
        <v>7.2555138086737996</v>
      </c>
    </row>
    <row r="88">
      <c r="A88">
        <f t="shared" si="664"/>
        <v>85</v>
      </c>
      <c r="B88">
        <v>-0.56805227865243613</v>
      </c>
      <c r="C88">
        <f t="shared" si="665"/>
        <v>6.4267890522116602</v>
      </c>
      <c r="D88">
        <f t="shared" si="666"/>
        <v>6.9459322242627897</v>
      </c>
    </row>
    <row r="89">
      <c r="A89">
        <f t="shared" si="664"/>
        <v>86</v>
      </c>
      <c r="B89">
        <v>-1.33327947803549</v>
      </c>
      <c r="C89">
        <f t="shared" si="665"/>
        <v>5.5555076226554601</v>
      </c>
      <c r="D89">
        <f t="shared" si="666"/>
        <v>6.8484467080733404</v>
      </c>
    </row>
    <row r="90">
      <c r="A90">
        <f t="shared" si="664"/>
        <v>87</v>
      </c>
      <c r="B90">
        <v>-0.20051644492783488</v>
      </c>
      <c r="C90">
        <f t="shared" si="665"/>
        <v>6.3790076989131803</v>
      </c>
      <c r="D90">
        <f t="shared" si="666"/>
        <v>6.5150296064631696</v>
      </c>
    </row>
    <row r="91">
      <c r="A91">
        <f t="shared" si="664"/>
        <v>88</v>
      </c>
      <c r="B91">
        <v>-0.14918393591633625</v>
      </c>
      <c r="C91">
        <f t="shared" si="665"/>
        <v>6.8468683813833904</v>
      </c>
      <c r="D91">
        <f t="shared" si="666"/>
        <v>7.0270249338203996</v>
      </c>
    </row>
    <row r="92">
      <c r="A92">
        <f t="shared" si="664"/>
        <v>89</v>
      </c>
      <c r="B92">
        <v>-0.57106267895885487</v>
      </c>
      <c r="C92">
        <f t="shared" si="665"/>
        <v>6.5297839037031897</v>
      </c>
      <c r="D92">
        <f t="shared" si="666"/>
        <v>7.1089612007664096</v>
      </c>
    </row>
    <row r="93">
      <c r="A93">
        <f t="shared" si="664"/>
        <v>90</v>
      </c>
      <c r="B93">
        <v>4.4994003861240695e-02</v>
      </c>
      <c r="C93">
        <f t="shared" si="665"/>
        <v>6.9722207272041796</v>
      </c>
      <c r="D93">
        <f t="shared" si="666"/>
        <v>6.8908417178650101</v>
      </c>
    </row>
    <row r="94">
      <c r="A94">
        <f t="shared" si="664"/>
        <v>91</v>
      </c>
      <c r="B94">
        <v>0.78508073324975647</v>
      </c>
      <c r="C94">
        <f t="shared" si="665"/>
        <v>7.92099063376111</v>
      </c>
      <c r="D94">
        <f t="shared" si="666"/>
        <v>7.14198522275694</v>
      </c>
    </row>
    <row r="95">
      <c r="A95">
        <f t="shared" si="664"/>
        <v>92</v>
      </c>
      <c r="B95">
        <v>0.27706110462678102</v>
      </c>
      <c r="C95">
        <f t="shared" si="665"/>
        <v>7.7482352854108001</v>
      </c>
      <c r="D95">
        <f t="shared" si="666"/>
        <v>7.5026727769595798</v>
      </c>
    </row>
    <row r="96">
      <c r="A96">
        <f t="shared" si="664"/>
        <v>93</v>
      </c>
      <c r="B96">
        <v>-0.40520581444015136</v>
      </c>
      <c r="C96">
        <f t="shared" si="665"/>
        <v>6.9019892363480597</v>
      </c>
      <c r="D96">
        <f t="shared" si="666"/>
        <v>7.2738769742938798</v>
      </c>
    </row>
    <row r="97">
      <c r="A97">
        <f t="shared" si="664"/>
        <v>94</v>
      </c>
      <c r="B97">
        <v>-1.7421983579903866</v>
      </c>
      <c r="C97">
        <f t="shared" si="665"/>
        <v>5.2437738080077496</v>
      </c>
      <c r="D97">
        <f t="shared" si="666"/>
        <v>6.9170046478371701</v>
      </c>
    </row>
    <row r="98">
      <c r="A98">
        <f t="shared" si="664"/>
        <v>95</v>
      </c>
      <c r="B98">
        <v>-0.41879251439262816</v>
      </c>
      <c r="C98">
        <f t="shared" si="665"/>
        <v>5.9885180851756701</v>
      </c>
      <c r="D98">
        <f t="shared" si="666"/>
        <v>6.2981765542857104</v>
      </c>
    </row>
    <row r="99">
      <c r="A99">
        <f t="shared" si="664"/>
        <v>96</v>
      </c>
      <c r="B99">
        <v>-0.94742147674947075</v>
      </c>
      <c r="C99">
        <f t="shared" si="665"/>
        <v>5.92360837652003</v>
      </c>
      <c r="D99">
        <f t="shared" si="666"/>
        <v>6.8991191555414098</v>
      </c>
    </row>
    <row r="100">
      <c r="A100">
        <f t="shared" si="664"/>
        <v>97</v>
      </c>
      <c r="B100">
        <v>0.74620903309226372</v>
      </c>
      <c r="C100">
        <f>5+0.4*C99-0.1*C98+B100</f>
        <v>7.5168005751826996</v>
      </c>
      <c r="D100">
        <f t="shared" si="666"/>
        <v>6.7516245534922197</v>
      </c>
    </row>
    <row r="101">
      <c r="A101">
        <f t="shared" ref="A101:A103" si="667">A100+1</f>
        <v>98</v>
      </c>
      <c r="B101">
        <v>0.44767087391513377</v>
      </c>
      <c r="C101">
        <f>5+0.4*C100-0.1*C99+B101</f>
        <v>7.8620302663362098</v>
      </c>
      <c r="D101">
        <f>$F$5+C100*$F$6+C99*$F$7</f>
        <v>7.4853211091799201</v>
      </c>
    </row>
    <row r="102">
      <c r="A102">
        <f t="shared" si="667"/>
        <v>99</v>
      </c>
      <c r="B102">
        <v>-0.65854682304090495</v>
      </c>
      <c r="C102">
        <f t="shared" ref="C102:C103" si="668">5+0.4*C101-0.1*C100+B102</f>
        <v>6.7345852259753096</v>
      </c>
      <c r="D102">
        <f t="shared" ref="D102:D103" si="669">$F$5+C101*$F$6+C100*$F$7</f>
        <v>7.3896001090844603</v>
      </c>
    </row>
    <row r="103">
      <c r="A103">
        <f t="shared" si="667"/>
        <v>100</v>
      </c>
      <c r="B103" s="14">
        <v>1.5582131382999855</v>
      </c>
      <c r="C103" s="14">
        <f t="shared" si="668"/>
        <v>8.4658442020564895</v>
      </c>
      <c r="D103" s="14">
        <f t="shared" si="669"/>
        <v>6.8229592511906301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3" max="3" width="6.7232139999999996"/>
    <col customWidth="1" min="6" max="6" width="4.2678570000000002"/>
    <col customWidth="1" min="7" max="7" width="35.8125"/>
  </cols>
  <sheetData>
    <row r="1">
      <c r="A1" s="52" t="s">
        <v>458</v>
      </c>
    </row>
    <row r="3">
      <c r="B3" s="4" t="s">
        <v>454</v>
      </c>
      <c r="D3" t="s">
        <v>283</v>
      </c>
      <c r="E3" s="7">
        <f>AVERAGE(B4:B103)</f>
        <v>7.08398338137268</v>
      </c>
      <c r="G3" t="e">
        <v>#NAME?</v>
      </c>
    </row>
    <row r="4">
      <c r="A4" s="15">
        <v>1</v>
      </c>
      <c r="B4">
        <f>'AR 2'!C4</f>
        <v>4.5267574698597501</v>
      </c>
      <c r="D4" t="s">
        <v>455</v>
      </c>
      <c r="E4" s="10">
        <f>VARP(B4:B103)</f>
        <v>1.25616422191883</v>
      </c>
      <c r="G4" t="e">
        <v>#NAME?</v>
      </c>
    </row>
    <row r="5">
      <c r="A5" s="15">
        <f t="shared" ref="A5:A10" si="670">A4+1</f>
        <v>2</v>
      </c>
      <c r="B5">
        <f>'AR 2'!C5</f>
        <v>6.8933707775124997</v>
      </c>
      <c r="D5" t="s">
        <v>446</v>
      </c>
      <c r="E5" s="10" t="e">
        <v>#NAME?</v>
      </c>
      <c r="G5" t="e">
        <v>#NAME?</v>
      </c>
    </row>
    <row r="6">
      <c r="A6" s="15">
        <f t="shared" si="670"/>
        <v>3</v>
      </c>
      <c r="B6">
        <f>'AR 2'!C6</f>
        <v>8.4253951175675894</v>
      </c>
      <c r="D6" t="s">
        <v>447</v>
      </c>
      <c r="E6" s="13" t="e">
        <v>#NAME?</v>
      </c>
      <c r="G6" t="e">
        <v>#NAME?</v>
      </c>
    </row>
    <row r="7">
      <c r="A7" s="15">
        <f t="shared" si="670"/>
        <v>4</v>
      </c>
      <c r="B7">
        <f>'AR 2'!C7</f>
        <v>6.9995020869890103</v>
      </c>
      <c r="G7" t="e">
        <v>#NAME?</v>
      </c>
    </row>
    <row r="8">
      <c r="A8" s="15">
        <f t="shared" si="670"/>
        <v>5</v>
      </c>
      <c r="B8">
        <f>'AR 2'!C8</f>
        <v>6.1875941616300798</v>
      </c>
      <c r="D8" t="s">
        <v>449</v>
      </c>
      <c r="E8" s="7" t="e">
        <f t="shared" ref="E8:E9" si="671">E5</f>
        <v>#NAME?</v>
      </c>
      <c r="G8" t="e">
        <v>#NAME?</v>
      </c>
    </row>
    <row r="9">
      <c r="A9" s="15">
        <f t="shared" si="670"/>
        <v>6</v>
      </c>
      <c r="B9">
        <f>'AR 2'!C9</f>
        <v>5.8129764708798204</v>
      </c>
      <c r="D9" t="s">
        <v>459</v>
      </c>
      <c r="E9" s="10" t="e">
        <f t="shared" si="671"/>
        <v>#NAME?</v>
      </c>
      <c r="G9" t="e">
        <v>#NAME?</v>
      </c>
    </row>
    <row r="10" ht="15" customHeight="1">
      <c r="A10" s="15">
        <f t="shared" si="670"/>
        <v>7</v>
      </c>
      <c r="B10">
        <f>'AR 2'!C10</f>
        <v>7.1200726875188396</v>
      </c>
      <c r="D10" t="s">
        <v>448</v>
      </c>
      <c r="E10" s="10" t="e">
        <f>E3*(1-E8-E9)</f>
        <v>#NAME?</v>
      </c>
      <c r="G10" t="e">
        <v>#NAME?</v>
      </c>
    </row>
    <row r="11" ht="15" customHeight="1">
      <c r="A11" s="15">
        <f t="shared" ref="A11:A74" si="672">A10+1</f>
        <v>8</v>
      </c>
      <c r="B11">
        <f>'AR 2'!C11</f>
        <v>8.5019149332741097</v>
      </c>
      <c r="D11" t="s">
        <v>457</v>
      </c>
      <c r="E11" s="13" t="e">
        <f>E4*(1+E9)*((1-E8)^2-E8^2)/(1-E9)</f>
        <v>#NAME?</v>
      </c>
      <c r="G11" t="e">
        <v>#NAME?</v>
      </c>
    </row>
    <row r="12">
      <c r="A12" s="15">
        <f t="shared" si="672"/>
        <v>9</v>
      </c>
      <c r="B12">
        <f>'AR 2'!C12</f>
        <v>7.3012221051820596</v>
      </c>
      <c r="G12" t="e">
        <v>#NAME?</v>
      </c>
    </row>
    <row r="13">
      <c r="A13" s="15">
        <f t="shared" si="672"/>
        <v>10</v>
      </c>
      <c r="B13">
        <f>'AR 2'!C13</f>
        <v>6.0388768293832698</v>
      </c>
      <c r="D13" t="s">
        <v>283</v>
      </c>
      <c r="E13" s="7">
        <f>AVERAGE(B4:B103)</f>
        <v>7.08398338137268</v>
      </c>
      <c r="G13" t="e">
        <v>#NAME?</v>
      </c>
    </row>
    <row r="14">
      <c r="A14" s="15">
        <f t="shared" si="672"/>
        <v>11</v>
      </c>
      <c r="B14">
        <f>'AR 2'!C14</f>
        <v>4.7460896891377899</v>
      </c>
      <c r="D14" t="s">
        <v>455</v>
      </c>
      <c r="E14" s="10">
        <f>VARP(B4:B103)</f>
        <v>1.25616422191883</v>
      </c>
      <c r="G14" t="e">
        <v>#NAME?</v>
      </c>
    </row>
    <row r="15">
      <c r="A15" s="15">
        <f t="shared" si="672"/>
        <v>12</v>
      </c>
      <c r="B15">
        <f>'AR 2'!C15</f>
        <v>6.6536767183588399</v>
      </c>
      <c r="D15" t="s">
        <v>456</v>
      </c>
      <c r="E15" s="10" t="e">
        <v>#NAME?</v>
      </c>
      <c r="G15" t="e">
        <v>#NAME?</v>
      </c>
    </row>
    <row r="16">
      <c r="A16" s="15">
        <f t="shared" si="672"/>
        <v>13</v>
      </c>
      <c r="B16">
        <f>'AR 2'!C16</f>
        <v>8.1939759194869595</v>
      </c>
      <c r="D16" t="s">
        <v>467</v>
      </c>
      <c r="E16" s="13" t="e">
        <v>#NAME?</v>
      </c>
      <c r="G16" t="e">
        <v>#NAME?</v>
      </c>
    </row>
    <row r="17">
      <c r="A17" s="15">
        <f t="shared" si="672"/>
        <v>14</v>
      </c>
      <c r="B17">
        <f>'AR 2'!C17</f>
        <v>7.5602635334693504</v>
      </c>
      <c r="G17" t="e">
        <v>#NAME?</v>
      </c>
    </row>
    <row r="18">
      <c r="A18" s="15">
        <f t="shared" si="672"/>
        <v>15</v>
      </c>
      <c r="B18">
        <f>'AR 2'!C18</f>
        <v>6.7944512971362103</v>
      </c>
      <c r="D18" t="s">
        <v>449</v>
      </c>
      <c r="E18" s="7" t="e">
        <f>E15*(1-E19)</f>
        <v>#NAME?</v>
      </c>
      <c r="G18" t="e">
        <v>#NAME?</v>
      </c>
    </row>
    <row r="19">
      <c r="A19" s="15">
        <f t="shared" si="672"/>
        <v>16</v>
      </c>
      <c r="B19">
        <f>'AR 2'!C19</f>
        <v>4.7244665351583901</v>
      </c>
      <c r="D19" t="s">
        <v>459</v>
      </c>
      <c r="E19" s="10" t="e">
        <f>(E16-E15^2)/(1-E15^2)</f>
        <v>#NAME?</v>
      </c>
      <c r="G19" t="e">
        <v>#NAME?</v>
      </c>
    </row>
    <row r="20">
      <c r="A20" s="15">
        <f t="shared" si="672"/>
        <v>17</v>
      </c>
      <c r="B20">
        <f>'AR 2'!C20</f>
        <v>6.0271551265385899</v>
      </c>
      <c r="D20" t="s">
        <v>448</v>
      </c>
      <c r="E20" s="10" t="e">
        <f>E13*(1-E18-E19)</f>
        <v>#NAME?</v>
      </c>
      <c r="G20" t="e">
        <v>#NAME?</v>
      </c>
    </row>
    <row r="21" ht="15" customHeight="1">
      <c r="A21" s="15">
        <f t="shared" si="672"/>
        <v>18</v>
      </c>
      <c r="B21">
        <f>'AR 2'!C21</f>
        <v>7.1259100258620904</v>
      </c>
      <c r="D21" t="s">
        <v>457</v>
      </c>
      <c r="E21" s="13" t="e">
        <f>E14*(1+E19)*((1-E18)^2-E18^2)/(1-E19)</f>
        <v>#NAME?</v>
      </c>
      <c r="G21" t="e">
        <v>#NAME?</v>
      </c>
    </row>
    <row r="22">
      <c r="A22" s="15">
        <f t="shared" si="672"/>
        <v>19</v>
      </c>
      <c r="B22">
        <f>'AR 2'!C22</f>
        <v>7.19124782949216</v>
      </c>
    </row>
    <row r="23">
      <c r="A23" s="15">
        <f t="shared" si="672"/>
        <v>20</v>
      </c>
      <c r="B23">
        <f>'AR 2'!C23</f>
        <v>6.6826916383449904</v>
      </c>
    </row>
    <row r="24">
      <c r="A24" s="15">
        <f t="shared" si="672"/>
        <v>21</v>
      </c>
      <c r="B24">
        <f>'AR 2'!C24</f>
        <v>6.5721571230019</v>
      </c>
    </row>
    <row r="25">
      <c r="A25" s="15">
        <f t="shared" si="672"/>
        <v>22</v>
      </c>
      <c r="B25">
        <f>'AR 2'!C25</f>
        <v>6.7527389135024798</v>
      </c>
    </row>
    <row r="26">
      <c r="A26" s="15">
        <f t="shared" si="672"/>
        <v>23</v>
      </c>
      <c r="B26">
        <f>'AR 2'!C26</f>
        <v>5.6474000535444802</v>
      </c>
    </row>
    <row r="27">
      <c r="A27" s="15">
        <f t="shared" si="672"/>
        <v>24</v>
      </c>
      <c r="B27">
        <f>'AR 2'!C27</f>
        <v>6.4773690041962997</v>
      </c>
    </row>
    <row r="28">
      <c r="A28" s="15">
        <f t="shared" si="672"/>
        <v>25</v>
      </c>
      <c r="B28">
        <f>'AR 2'!C28</f>
        <v>7.2903737384173501</v>
      </c>
    </row>
    <row r="29">
      <c r="A29" s="15">
        <f t="shared" si="672"/>
        <v>26</v>
      </c>
      <c r="B29">
        <f>'AR 2'!C29</f>
        <v>7.8305066981653404</v>
      </c>
    </row>
    <row r="30">
      <c r="A30" s="15">
        <f t="shared" si="672"/>
        <v>27</v>
      </c>
      <c r="B30">
        <f>'AR 2'!C30</f>
        <v>7.7526829582134704</v>
      </c>
    </row>
    <row r="31">
      <c r="A31" s="15">
        <f t="shared" si="672"/>
        <v>28</v>
      </c>
      <c r="B31">
        <f>'AR 2'!C31</f>
        <v>5.8983792321319397</v>
      </c>
    </row>
    <row r="32">
      <c r="A32" s="15">
        <f t="shared" si="672"/>
        <v>29</v>
      </c>
      <c r="B32">
        <f>'AR 2'!C32</f>
        <v>6.9970102225736204</v>
      </c>
    </row>
    <row r="33">
      <c r="A33" s="15">
        <f t="shared" si="672"/>
        <v>30</v>
      </c>
      <c r="B33">
        <f>'AR 2'!C33</f>
        <v>7.5670361691232797</v>
      </c>
    </row>
    <row r="34">
      <c r="A34" s="15">
        <f t="shared" si="672"/>
        <v>31</v>
      </c>
      <c r="B34">
        <f>'AR 2'!C34</f>
        <v>5.9325823975209202</v>
      </c>
    </row>
    <row r="35">
      <c r="A35" s="15">
        <f t="shared" si="672"/>
        <v>32</v>
      </c>
      <c r="B35">
        <f>'AR 2'!C35</f>
        <v>6.2716739845100298</v>
      </c>
    </row>
    <row r="36">
      <c r="A36" s="15">
        <f t="shared" si="672"/>
        <v>33</v>
      </c>
      <c r="B36">
        <f>'AR 2'!C36</f>
        <v>7.5927373959870099</v>
      </c>
    </row>
    <row r="37">
      <c r="A37" s="15">
        <f t="shared" si="672"/>
        <v>34</v>
      </c>
      <c r="B37">
        <f>'AR 2'!C37</f>
        <v>7.0772059138076298</v>
      </c>
    </row>
    <row r="38">
      <c r="A38" s="15">
        <f t="shared" si="672"/>
        <v>35</v>
      </c>
      <c r="B38">
        <f>'AR 2'!C38</f>
        <v>7.2335411603542896</v>
      </c>
    </row>
    <row r="39">
      <c r="A39" s="15">
        <f t="shared" si="672"/>
        <v>36</v>
      </c>
      <c r="B39">
        <f>'AR 2'!C39</f>
        <v>9.2815947650948107</v>
      </c>
    </row>
    <row r="40">
      <c r="A40" s="15">
        <f t="shared" si="672"/>
        <v>37</v>
      </c>
      <c r="B40">
        <f>'AR 2'!C40</f>
        <v>8.1261550928644404</v>
      </c>
    </row>
    <row r="41">
      <c r="A41" s="15">
        <f t="shared" si="672"/>
        <v>38</v>
      </c>
      <c r="B41">
        <f>'AR 2'!C41</f>
        <v>7.4739429418675902</v>
      </c>
    </row>
    <row r="42">
      <c r="A42" s="15">
        <f t="shared" si="672"/>
        <v>39</v>
      </c>
      <c r="B42">
        <f>'AR 2'!C42</f>
        <v>5.8482842063827496</v>
      </c>
    </row>
    <row r="43">
      <c r="A43" s="15">
        <f t="shared" si="672"/>
        <v>40</v>
      </c>
      <c r="B43">
        <f>'AR 2'!C43</f>
        <v>4.9087410222113999</v>
      </c>
    </row>
    <row r="44">
      <c r="A44" s="15">
        <f t="shared" si="672"/>
        <v>41</v>
      </c>
      <c r="B44">
        <f>'AR 2'!C44</f>
        <v>8.5560009883684192</v>
      </c>
    </row>
    <row r="45">
      <c r="A45" s="15">
        <f t="shared" si="672"/>
        <v>42</v>
      </c>
      <c r="B45">
        <f>'AR 2'!C45</f>
        <v>8.7745309133389409</v>
      </c>
    </row>
    <row r="46">
      <c r="A46" s="15">
        <f t="shared" si="672"/>
        <v>43</v>
      </c>
      <c r="B46">
        <f>'AR 2'!C46</f>
        <v>7.5376775568876502</v>
      </c>
    </row>
    <row r="47">
      <c r="A47" s="15">
        <f t="shared" si="672"/>
        <v>44</v>
      </c>
      <c r="B47">
        <f>'AR 2'!C47</f>
        <v>8.2711357692560892</v>
      </c>
    </row>
    <row r="48">
      <c r="A48" s="15">
        <f t="shared" si="672"/>
        <v>45</v>
      </c>
      <c r="B48">
        <f>'AR 2'!C48</f>
        <v>9.6160924400361303</v>
      </c>
    </row>
    <row r="49">
      <c r="A49" s="15">
        <f t="shared" si="672"/>
        <v>46</v>
      </c>
      <c r="B49">
        <f>'AR 2'!C49</f>
        <v>9.1199492250703198</v>
      </c>
    </row>
    <row r="50">
      <c r="A50" s="15">
        <f t="shared" si="672"/>
        <v>47</v>
      </c>
      <c r="B50">
        <f>'AR 2'!C50</f>
        <v>7.5739399577802704</v>
      </c>
    </row>
    <row r="51">
      <c r="A51" s="15">
        <f t="shared" si="672"/>
        <v>48</v>
      </c>
      <c r="B51">
        <f>'AR 2'!C51</f>
        <v>8.0172610519511505</v>
      </c>
    </row>
    <row r="52">
      <c r="A52" s="15">
        <f t="shared" si="672"/>
        <v>49</v>
      </c>
      <c r="B52">
        <f>'AR 2'!C52</f>
        <v>6.7179685412903396</v>
      </c>
    </row>
    <row r="53">
      <c r="A53" s="15">
        <f t="shared" si="672"/>
        <v>50</v>
      </c>
      <c r="B53">
        <f>'AR 2'!C53</f>
        <v>7.6314476483008402</v>
      </c>
    </row>
    <row r="54">
      <c r="A54" s="15">
        <f t="shared" si="672"/>
        <v>51</v>
      </c>
      <c r="B54">
        <f>'AR 2'!C54</f>
        <v>6.9543572952914499</v>
      </c>
    </row>
    <row r="55">
      <c r="A55" s="15">
        <f t="shared" si="672"/>
        <v>52</v>
      </c>
      <c r="B55">
        <f>'AR 2'!C55</f>
        <v>6.6084855817594104</v>
      </c>
    </row>
    <row r="56">
      <c r="A56" s="15">
        <f t="shared" si="672"/>
        <v>53</v>
      </c>
      <c r="B56">
        <f>'AR 2'!C56</f>
        <v>6.4501230805655903</v>
      </c>
    </row>
    <row r="57">
      <c r="A57" s="15">
        <f t="shared" si="672"/>
        <v>54</v>
      </c>
      <c r="B57">
        <f>'AR 2'!C57</f>
        <v>7.6879119027649701</v>
      </c>
    </row>
    <row r="58">
      <c r="A58" s="15">
        <f t="shared" si="672"/>
        <v>55</v>
      </c>
      <c r="B58">
        <f>'AR 2'!C58</f>
        <v>5.7936182459941499</v>
      </c>
    </row>
    <row r="59">
      <c r="A59" s="15">
        <f t="shared" si="672"/>
        <v>56</v>
      </c>
      <c r="B59">
        <f>'AR 2'!C59</f>
        <v>6.5599686446029404</v>
      </c>
    </row>
    <row r="60">
      <c r="A60" s="15">
        <f t="shared" si="672"/>
        <v>57</v>
      </c>
      <c r="B60">
        <f>'AR 2'!C60</f>
        <v>8.0502499924422004</v>
      </c>
    </row>
    <row r="61">
      <c r="A61" s="15">
        <f t="shared" si="672"/>
        <v>58</v>
      </c>
      <c r="B61">
        <f>'AR 2'!C61</f>
        <v>6.1160642285235003</v>
      </c>
    </row>
    <row r="62">
      <c r="A62" s="15">
        <f t="shared" si="672"/>
        <v>59</v>
      </c>
      <c r="B62">
        <f>'AR 2'!C62</f>
        <v>6.7128853872971996</v>
      </c>
    </row>
    <row r="63">
      <c r="A63" s="15">
        <f t="shared" si="672"/>
        <v>60</v>
      </c>
      <c r="B63">
        <f>'AR 2'!C63</f>
        <v>6.9727691577060602</v>
      </c>
    </row>
    <row r="64">
      <c r="A64" s="15">
        <f t="shared" si="672"/>
        <v>61</v>
      </c>
      <c r="B64">
        <f>'AR 2'!C64</f>
        <v>5.3921819539772997</v>
      </c>
    </row>
    <row r="65">
      <c r="A65" s="15">
        <f t="shared" si="672"/>
        <v>62</v>
      </c>
      <c r="B65">
        <f>'AR 2'!C65</f>
        <v>5.2797035833200097</v>
      </c>
    </row>
    <row r="66">
      <c r="A66" s="15">
        <f t="shared" si="672"/>
        <v>63</v>
      </c>
      <c r="B66">
        <f>'AR 2'!C66</f>
        <v>7.4698051304791697</v>
      </c>
    </row>
    <row r="67">
      <c r="A67" s="15">
        <f t="shared" si="672"/>
        <v>64</v>
      </c>
      <c r="B67">
        <f>'AR 2'!C67</f>
        <v>5.3546264732197999</v>
      </c>
    </row>
    <row r="68">
      <c r="A68" s="15">
        <f t="shared" si="672"/>
        <v>65</v>
      </c>
      <c r="B68">
        <f>'AR 2'!C68</f>
        <v>7.38626300488807</v>
      </c>
    </row>
    <row r="69">
      <c r="A69" s="15">
        <f t="shared" si="672"/>
        <v>66</v>
      </c>
      <c r="B69">
        <f>'AR 2'!C69</f>
        <v>8.9169928669823193</v>
      </c>
    </row>
    <row r="70">
      <c r="A70" s="15">
        <f t="shared" si="672"/>
        <v>67</v>
      </c>
      <c r="B70">
        <f>'AR 2'!C70</f>
        <v>8.0300089468534299</v>
      </c>
    </row>
    <row r="71">
      <c r="A71" s="15">
        <f t="shared" si="672"/>
        <v>68</v>
      </c>
      <c r="B71">
        <f>'AR 2'!C71</f>
        <v>8.2151443132194704</v>
      </c>
    </row>
    <row r="72">
      <c r="A72" s="15">
        <f t="shared" si="672"/>
        <v>69</v>
      </c>
      <c r="B72">
        <f>'AR 2'!C72</f>
        <v>6.4821485455978403</v>
      </c>
    </row>
    <row r="73">
      <c r="A73" s="15">
        <f t="shared" si="672"/>
        <v>70</v>
      </c>
      <c r="B73">
        <f>'AR 2'!C73</f>
        <v>8.6269994716856893</v>
      </c>
    </row>
    <row r="74">
      <c r="A74" s="15">
        <f t="shared" si="672"/>
        <v>71</v>
      </c>
      <c r="B74">
        <f>'AR 2'!C74</f>
        <v>9.2940431937725094</v>
      </c>
    </row>
    <row r="75">
      <c r="A75" s="15">
        <f t="shared" ref="A75:A100" si="673">A74+1</f>
        <v>72</v>
      </c>
      <c r="B75">
        <f>'AR 2'!C75</f>
        <v>8.4137893229457603</v>
      </c>
    </row>
    <row r="76">
      <c r="A76" s="15">
        <f t="shared" si="673"/>
        <v>73</v>
      </c>
      <c r="B76">
        <f>'AR 2'!C76</f>
        <v>9.6617263427642595</v>
      </c>
    </row>
    <row r="77">
      <c r="A77" s="15">
        <f t="shared" si="673"/>
        <v>74</v>
      </c>
      <c r="B77">
        <f>'AR 2'!C77</f>
        <v>8.3537099682960996</v>
      </c>
    </row>
    <row r="78">
      <c r="A78" s="15">
        <f t="shared" si="673"/>
        <v>75</v>
      </c>
      <c r="B78">
        <f>'AR 2'!C78</f>
        <v>7.0127164687025498</v>
      </c>
    </row>
    <row r="79">
      <c r="A79" s="15">
        <f t="shared" si="673"/>
        <v>76</v>
      </c>
      <c r="B79">
        <f>'AR 2'!C79</f>
        <v>8.9515775235568</v>
      </c>
    </row>
    <row r="80">
      <c r="A80" s="15">
        <f t="shared" si="673"/>
        <v>77</v>
      </c>
      <c r="B80">
        <f>'AR 2'!C80</f>
        <v>7.78710598027115</v>
      </c>
    </row>
    <row r="81">
      <c r="A81" s="15">
        <f t="shared" si="673"/>
        <v>78</v>
      </c>
      <c r="B81">
        <f>'AR 2'!C81</f>
        <v>5.9914461883467398</v>
      </c>
    </row>
    <row r="82">
      <c r="A82" s="15">
        <f t="shared" si="673"/>
        <v>79</v>
      </c>
      <c r="B82">
        <f>'AR 2'!C82</f>
        <v>6.0471013441916996</v>
      </c>
    </row>
    <row r="83">
      <c r="A83" s="15">
        <f t="shared" si="673"/>
        <v>80</v>
      </c>
      <c r="B83">
        <f>'AR 2'!C83</f>
        <v>6.1994021267282502</v>
      </c>
    </row>
    <row r="84">
      <c r="A84" s="15">
        <f t="shared" si="673"/>
        <v>81</v>
      </c>
      <c r="B84">
        <f>'AR 2'!C84</f>
        <v>7.7702460900772801</v>
      </c>
    </row>
    <row r="85">
      <c r="A85" s="15">
        <f t="shared" si="673"/>
        <v>82</v>
      </c>
      <c r="B85">
        <f>'AR 2'!C85</f>
        <v>6.8348719600207701</v>
      </c>
    </row>
    <row r="86">
      <c r="A86" s="15">
        <f t="shared" si="673"/>
        <v>83</v>
      </c>
      <c r="B86">
        <f>'AR 2'!C86</f>
        <v>7.3287274991072104</v>
      </c>
    </row>
    <row r="87">
      <c r="A87" s="15">
        <f t="shared" si="673"/>
        <v>84</v>
      </c>
      <c r="B87">
        <f>'AR 2'!C87</f>
        <v>6.8192852019370598</v>
      </c>
    </row>
    <row r="88">
      <c r="A88" s="15">
        <f t="shared" si="673"/>
        <v>85</v>
      </c>
      <c r="B88">
        <f>'AR 2'!C88</f>
        <v>6.4267890522116602</v>
      </c>
    </row>
    <row r="89">
      <c r="A89" s="15">
        <f t="shared" si="673"/>
        <v>86</v>
      </c>
      <c r="B89">
        <f>'AR 2'!C89</f>
        <v>5.5555076226554601</v>
      </c>
    </row>
    <row r="90">
      <c r="A90" s="15">
        <f t="shared" si="673"/>
        <v>87</v>
      </c>
      <c r="B90">
        <f>'AR 2'!C90</f>
        <v>6.3790076989131803</v>
      </c>
    </row>
    <row r="91">
      <c r="A91" s="15">
        <f t="shared" si="673"/>
        <v>88</v>
      </c>
      <c r="B91">
        <f>'AR 2'!C91</f>
        <v>6.8468683813833904</v>
      </c>
    </row>
    <row r="92">
      <c r="A92" s="15">
        <f t="shared" si="673"/>
        <v>89</v>
      </c>
      <c r="B92">
        <f>'AR 2'!C92</f>
        <v>6.5297839037031897</v>
      </c>
    </row>
    <row r="93">
      <c r="A93" s="15">
        <f t="shared" si="673"/>
        <v>90</v>
      </c>
      <c r="B93">
        <f>'AR 2'!C93</f>
        <v>6.9722207272041796</v>
      </c>
    </row>
    <row r="94">
      <c r="A94" s="15">
        <f t="shared" si="673"/>
        <v>91</v>
      </c>
      <c r="B94">
        <f>'AR 2'!C94</f>
        <v>7.92099063376111</v>
      </c>
    </row>
    <row r="95">
      <c r="A95" s="15">
        <f t="shared" si="673"/>
        <v>92</v>
      </c>
      <c r="B95">
        <f>'AR 2'!C95</f>
        <v>7.7482352854108001</v>
      </c>
    </row>
    <row r="96">
      <c r="A96" s="15">
        <f t="shared" si="673"/>
        <v>93</v>
      </c>
      <c r="B96">
        <f>'AR 2'!C96</f>
        <v>6.9019892363480597</v>
      </c>
    </row>
    <row r="97">
      <c r="A97" s="15">
        <f t="shared" si="673"/>
        <v>94</v>
      </c>
      <c r="B97">
        <f>'AR 2'!C97</f>
        <v>5.2437738080077496</v>
      </c>
    </row>
    <row r="98">
      <c r="A98" s="15">
        <f t="shared" si="673"/>
        <v>95</v>
      </c>
      <c r="B98">
        <f>'AR 2'!C98</f>
        <v>5.9885180851756701</v>
      </c>
    </row>
    <row r="99">
      <c r="A99" s="15">
        <f t="shared" si="673"/>
        <v>96</v>
      </c>
      <c r="B99">
        <f>'AR 2'!C99</f>
        <v>5.92360837652003</v>
      </c>
    </row>
    <row r="100">
      <c r="A100" s="15">
        <f t="shared" si="673"/>
        <v>97</v>
      </c>
      <c r="B100">
        <f>'AR 2'!C100</f>
        <v>7.5168005751826996</v>
      </c>
    </row>
    <row r="101">
      <c r="A101" s="15">
        <f t="shared" ref="A101:A103" si="674">A100+1</f>
        <v>98</v>
      </c>
      <c r="B101">
        <f>'AR 2'!C101</f>
        <v>7.8620302663362098</v>
      </c>
    </row>
    <row r="102">
      <c r="A102" s="15">
        <f t="shared" si="674"/>
        <v>99</v>
      </c>
      <c r="B102">
        <f>'AR 2'!C102</f>
        <v>6.7345852259753096</v>
      </c>
    </row>
    <row r="103">
      <c r="A103" s="15">
        <f t="shared" si="674"/>
        <v>100</v>
      </c>
      <c r="B103" s="14">
        <f>'AR 2'!C103</f>
        <v>8.4658442020564895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468</v>
      </c>
    </row>
    <row r="2">
      <c r="D2" s="25" t="s">
        <v>469</v>
      </c>
      <c r="E2" s="25" t="s">
        <v>470</v>
      </c>
      <c r="F2" s="25" t="s">
        <v>471</v>
      </c>
    </row>
    <row r="3">
      <c r="A3" t="s">
        <v>472</v>
      </c>
      <c r="B3" s="7">
        <v>0.59999999999999998</v>
      </c>
      <c r="D3" s="5" t="e">
        <v>#NAME?</v>
      </c>
      <c r="E3" s="42" t="e">
        <v>#NAME?</v>
      </c>
      <c r="F3" s="6" t="e">
        <v>#NAME?</v>
      </c>
    </row>
    <row r="4">
      <c r="A4" t="s">
        <v>459</v>
      </c>
      <c r="B4" s="10">
        <v>-0.40000000000000002</v>
      </c>
      <c r="D4" s="8" t="e">
        <v>#NAME?</v>
      </c>
      <c r="E4" t="e">
        <v>#NAME?</v>
      </c>
      <c r="F4" s="9" t="e">
        <v>#NAME?</v>
      </c>
    </row>
    <row r="5">
      <c r="A5" t="s">
        <v>449</v>
      </c>
      <c r="B5" s="13">
        <v>-0.10000000000000001</v>
      </c>
      <c r="D5" s="11" t="e">
        <v>#NAME?</v>
      </c>
      <c r="E5" s="14" t="e">
        <v>#NAME?</v>
      </c>
      <c r="F5" s="12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style="15" width="5.2678570000000002"/>
    <col customWidth="1" min="3" max="3" width="4.8125"/>
    <col customWidth="1" min="4" max="31" width="9.1785709999999998"/>
    <col customWidth="1" min="36" max="36" width="3.4553569999999998"/>
    <col customWidth="1" min="37" max="37" width="17.544643000000001"/>
  </cols>
  <sheetData>
    <row r="1">
      <c r="A1" s="52" t="s">
        <v>473</v>
      </c>
      <c r="D1" t="s">
        <v>474</v>
      </c>
      <c r="H1" t="s">
        <v>475</v>
      </c>
      <c r="L1" t="s">
        <v>476</v>
      </c>
      <c r="P1" t="s">
        <v>477</v>
      </c>
      <c r="U1" t="s">
        <v>478</v>
      </c>
      <c r="AC1" t="s">
        <v>479</v>
      </c>
    </row>
    <row r="2">
      <c r="X2" t="s">
        <v>385</v>
      </c>
      <c r="Y2">
        <v>5.0000000000000003e-02</v>
      </c>
    </row>
    <row r="3">
      <c r="B3" s="4" t="s">
        <v>454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486</v>
      </c>
      <c r="R3" s="24" t="s">
        <v>358</v>
      </c>
      <c r="S3" s="24" t="s">
        <v>189</v>
      </c>
      <c r="U3" s="24" t="s">
        <v>355</v>
      </c>
      <c r="V3" s="24" t="s">
        <v>173</v>
      </c>
      <c r="W3" s="24" t="s">
        <v>480</v>
      </c>
      <c r="X3" s="24" t="s">
        <v>208</v>
      </c>
      <c r="Y3" s="24" t="s">
        <v>183</v>
      </c>
      <c r="Z3" s="24" t="s">
        <v>215</v>
      </c>
      <c r="AA3" s="24" t="s">
        <v>216</v>
      </c>
      <c r="AC3" s="24" t="s">
        <v>355</v>
      </c>
      <c r="AD3" s="24" t="s">
        <v>193</v>
      </c>
      <c r="AF3" t="s">
        <v>487</v>
      </c>
      <c r="AK3" t="s">
        <v>369</v>
      </c>
    </row>
    <row r="4">
      <c r="A4" s="15">
        <v>1</v>
      </c>
      <c r="B4">
        <f>'AR 2'!C4</f>
        <v>4.5267574698597501</v>
      </c>
      <c r="D4">
        <v>1</v>
      </c>
      <c r="E4">
        <f t="shared" ref="E4:E9" si="675">B4-J$7</f>
        <v>-2.1583413073564599</v>
      </c>
      <c r="F4">
        <v>0</v>
      </c>
      <c r="H4" s="15">
        <v>3</v>
      </c>
      <c r="I4">
        <v>-0.44465412867337689</v>
      </c>
      <c r="J4">
        <v>0</v>
      </c>
      <c r="L4" t="e">
        <v>#NAME?</v>
      </c>
      <c r="M4" t="e">
        <v>#NAME?</v>
      </c>
      <c r="N4" t="e">
        <v>#NAME?</v>
      </c>
      <c r="P4" t="s">
        <v>488</v>
      </c>
      <c r="Q4">
        <f>I6</f>
        <v>9.6431296663485988e-02</v>
      </c>
      <c r="R4" t="e">
        <v>#NAME?</v>
      </c>
      <c r="S4" t="e">
        <f>CHIDIST(J19*(LN(R4)-LN(J9)),1)</f>
        <v>#NAME?</v>
      </c>
      <c r="U4">
        <f t="shared" ref="U4:U9" si="676">D4</f>
        <v>1</v>
      </c>
      <c r="V4">
        <f t="shared" ref="V4:V9" si="677">E4</f>
        <v>-2.1583413073564599</v>
      </c>
      <c r="W4">
        <f t="shared" ref="W4:W9" si="678">F4</f>
        <v>0</v>
      </c>
      <c r="X4">
        <f t="shared" ref="X4:X9" si="679">V4-W4</f>
        <v>-2.1583413073564599</v>
      </c>
      <c r="Y4">
        <f t="shared" ref="Y4:Y23" si="680">J$16</f>
        <v>0.623578348322951</v>
      </c>
      <c r="Z4">
        <f t="shared" ref="Z4:Z9" si="681">X4-NORMSINV(1-Y$2/2)*Y4</f>
        <v>-3.3805323513644301</v>
      </c>
      <c r="AA4">
        <f t="shared" ref="AA4:AA9" si="682">X4+NORMSINV(1-Y$2/2)*Y4</f>
        <v>-0.93615026334848994</v>
      </c>
      <c r="AC4">
        <v>1</v>
      </c>
      <c r="AD4">
        <f t="shared" ref="AD4:AD9" si="683">B4</f>
        <v>4.5267574698597501</v>
      </c>
    </row>
    <row r="5">
      <c r="A5" s="15">
        <f t="shared" ref="A5:A10" si="684">A4+1</f>
        <v>2</v>
      </c>
      <c r="B5">
        <f>'AR 2'!C5</f>
        <v>6.8933707775124997</v>
      </c>
      <c r="D5">
        <f t="shared" ref="D5:D10" si="685">D4+1</f>
        <v>2</v>
      </c>
      <c r="E5">
        <f t="shared" si="675"/>
        <v>0.20827200029629003</v>
      </c>
      <c r="F5">
        <v>0</v>
      </c>
      <c r="H5" s="15">
        <f t="shared" ref="H5:H6" si="686">H4-1</f>
        <v>2</v>
      </c>
      <c r="I5">
        <v>-0.45240432632159988</v>
      </c>
      <c r="J5">
        <v>0</v>
      </c>
      <c r="L5" t="e">
        <v>#NAME?</v>
      </c>
      <c r="M5" t="e">
        <v>#NAME?</v>
      </c>
      <c r="N5" t="e">
        <v>#NAME?</v>
      </c>
      <c r="P5" t="s">
        <v>489</v>
      </c>
      <c r="Q5">
        <f>I5</f>
        <v>-0.45240432632159999</v>
      </c>
      <c r="R5" t="e">
        <v>#NAME?</v>
      </c>
      <c r="S5" t="e">
        <f>CHIDIST(J19*(LN(R5)-LN(J9)),1)</f>
        <v>#NAME?</v>
      </c>
      <c r="U5">
        <f t="shared" si="676"/>
        <v>2</v>
      </c>
      <c r="V5">
        <f t="shared" si="677"/>
        <v>0.20827200029629003</v>
      </c>
      <c r="W5">
        <f t="shared" si="678"/>
        <v>0</v>
      </c>
      <c r="X5">
        <f t="shared" si="679"/>
        <v>0.20827200029629003</v>
      </c>
      <c r="Y5">
        <f t="shared" si="680"/>
        <v>0.623578348322951</v>
      </c>
      <c r="Z5">
        <f t="shared" si="681"/>
        <v>-1.0139190437116801</v>
      </c>
      <c r="AA5">
        <f t="shared" si="682"/>
        <v>1.4304630443042601</v>
      </c>
      <c r="AC5">
        <f t="shared" ref="AC5:AC10" si="687">AC4+1</f>
        <v>2</v>
      </c>
      <c r="AD5">
        <f t="shared" si="683"/>
        <v>6.8933707775124997</v>
      </c>
      <c r="AF5" s="24" t="s">
        <v>490</v>
      </c>
      <c r="AG5" s="24" t="s">
        <v>491</v>
      </c>
      <c r="AH5" s="24" t="s">
        <v>492</v>
      </c>
      <c r="AI5" s="24" t="s">
        <v>207</v>
      </c>
      <c r="AK5" s="49" t="s">
        <v>371</v>
      </c>
      <c r="AL5" s="49"/>
      <c r="AN5" s="49"/>
      <c r="AO5" s="49"/>
    </row>
    <row r="6">
      <c r="A6" s="15">
        <f t="shared" si="684"/>
        <v>3</v>
      </c>
      <c r="B6">
        <f>'AR 2'!C6</f>
        <v>8.4253951175675894</v>
      </c>
      <c r="D6">
        <f t="shared" si="685"/>
        <v>3</v>
      </c>
      <c r="E6">
        <f t="shared" si="675"/>
        <v>1.74029634035138</v>
      </c>
      <c r="F6">
        <v>0</v>
      </c>
      <c r="H6" s="15">
        <f t="shared" si="686"/>
        <v>1</v>
      </c>
      <c r="I6">
        <v>9.6431296663486404e-02</v>
      </c>
      <c r="J6">
        <v>0</v>
      </c>
      <c r="L6" s="14" t="e">
        <v>#NAME?</v>
      </c>
      <c r="M6" s="14" t="e">
        <v>#NAME?</v>
      </c>
      <c r="N6" s="14" t="e">
        <v>#NAME?</v>
      </c>
      <c r="P6" t="s">
        <v>493</v>
      </c>
      <c r="Q6">
        <f>I4</f>
        <v>-0.444654128673377</v>
      </c>
      <c r="R6" t="e">
        <v>#NAME?</v>
      </c>
      <c r="S6" t="e">
        <f>CHIDIST(J19*(LN(R6)-LN(J9)),1)</f>
        <v>#NAME?</v>
      </c>
      <c r="U6">
        <f t="shared" si="676"/>
        <v>3</v>
      </c>
      <c r="V6">
        <f t="shared" si="677"/>
        <v>1.74029634035138</v>
      </c>
      <c r="W6">
        <f t="shared" si="678"/>
        <v>0</v>
      </c>
      <c r="X6">
        <f t="shared" si="679"/>
        <v>1.74029634035138</v>
      </c>
      <c r="Y6">
        <f t="shared" si="680"/>
        <v>0.623578348322951</v>
      </c>
      <c r="Z6">
        <f t="shared" si="681"/>
        <v>0.51810529634340996</v>
      </c>
      <c r="AA6">
        <f t="shared" si="682"/>
        <v>2.96248738435935</v>
      </c>
      <c r="AC6">
        <f t="shared" si="687"/>
        <v>3</v>
      </c>
      <c r="AD6">
        <f t="shared" si="683"/>
        <v>8.4253951175675894</v>
      </c>
      <c r="AF6" s="42" t="e">
        <v>#NAME?</v>
      </c>
      <c r="AG6" s="42" t="e">
        <v>#NAME?</v>
      </c>
      <c r="AH6" s="42" t="e">
        <v>#NAME?</v>
      </c>
      <c r="AI6" s="42" t="e">
        <v>#NAME?</v>
      </c>
      <c r="AK6" t="s">
        <v>373</v>
      </c>
      <c r="AL6" t="e">
        <f>SQRT(AL7)</f>
        <v>#NAME?</v>
      </c>
      <c r="AN6" t="s">
        <v>374</v>
      </c>
      <c r="AO6" t="e">
        <f>AL10*LN(AM15/AL10)+2*(AL14+1)</f>
        <v>#NAME?</v>
      </c>
    </row>
    <row r="7">
      <c r="A7" s="15">
        <f t="shared" si="684"/>
        <v>4</v>
      </c>
      <c r="B7">
        <f>'AR 2'!C7</f>
        <v>6.9995020869890103</v>
      </c>
      <c r="D7">
        <f t="shared" si="685"/>
        <v>4</v>
      </c>
      <c r="E7">
        <f t="shared" si="675"/>
        <v>0.31440330977280101</v>
      </c>
      <c r="F7">
        <f t="shared" ref="F7:F9" si="688">E7-SUMPRODUCT(E4:E6,I$4:I$6)</f>
        <v>-0.71890794232264899</v>
      </c>
      <c r="H7" s="17" t="s">
        <v>494</v>
      </c>
      <c r="I7" s="14">
        <f>J7*(1-SUM(I4:I6))</f>
        <v>12.0373704143841</v>
      </c>
      <c r="J7" s="14">
        <v>6.6850987772162123</v>
      </c>
      <c r="P7" t="s">
        <v>494</v>
      </c>
      <c r="Q7">
        <f>I7</f>
        <v>12.0373704143841</v>
      </c>
      <c r="R7" t="e">
        <v>#NAME?</v>
      </c>
      <c r="S7" t="e">
        <f>CHIDIST(J19*(LN(R7)-LN(J9)),1)</f>
        <v>#NAME?</v>
      </c>
      <c r="U7">
        <f t="shared" si="676"/>
        <v>4</v>
      </c>
      <c r="V7">
        <f t="shared" si="677"/>
        <v>0.31440330977280101</v>
      </c>
      <c r="W7">
        <f t="shared" si="678"/>
        <v>-0.71890794232264899</v>
      </c>
      <c r="X7">
        <f t="shared" si="679"/>
        <v>1.0333112520954499</v>
      </c>
      <c r="Y7">
        <f t="shared" si="680"/>
        <v>0.623578348322951</v>
      </c>
      <c r="Z7">
        <f t="shared" si="681"/>
        <v>-0.18887979191252</v>
      </c>
      <c r="AA7">
        <f t="shared" si="682"/>
        <v>2.2555022961034199</v>
      </c>
      <c r="AC7">
        <f t="shared" si="687"/>
        <v>4</v>
      </c>
      <c r="AD7">
        <f t="shared" si="683"/>
        <v>6.9995020869890103</v>
      </c>
      <c r="AF7" t="e">
        <v>#NAME?</v>
      </c>
      <c r="AG7" t="e">
        <v>#NAME?</v>
      </c>
      <c r="AH7" t="e">
        <v>#NAME?</v>
      </c>
      <c r="AI7" t="e">
        <v>#NAME?</v>
      </c>
      <c r="AK7" t="s">
        <v>375</v>
      </c>
      <c r="AL7" t="e">
        <f>AM14/AM16</f>
        <v>#NAME?</v>
      </c>
      <c r="AN7" t="s">
        <v>376</v>
      </c>
      <c r="AO7" t="e">
        <f>AO6+2*(AL14+2)*(AL14+3)/(AL10-AL14-3)</f>
        <v>#NAME?</v>
      </c>
    </row>
    <row r="8">
      <c r="A8" s="15">
        <f t="shared" si="684"/>
        <v>5</v>
      </c>
      <c r="B8">
        <f>'AR 2'!C8</f>
        <v>6.1875941616300798</v>
      </c>
      <c r="D8">
        <f t="shared" si="685"/>
        <v>5</v>
      </c>
      <c r="E8">
        <f t="shared" si="675"/>
        <v>-0.49750461558612996</v>
      </c>
      <c r="F8">
        <f t="shared" si="688"/>
        <v>0.352103663852607</v>
      </c>
      <c r="L8" t="s">
        <v>495</v>
      </c>
      <c r="P8" s="14" t="s">
        <v>283</v>
      </c>
      <c r="Q8" s="14">
        <f>J17</f>
        <v>9.0637500982300011e-04</v>
      </c>
      <c r="R8" s="14">
        <f>-Q8/(J18/SQRT(J19))</f>
        <v>-3.6322388976509994e-03</v>
      </c>
      <c r="S8" s="14">
        <f>TDIST(ABS(R8),J19-1,2)</f>
        <v>0.99714680142809797</v>
      </c>
      <c r="U8">
        <f t="shared" si="676"/>
        <v>5</v>
      </c>
      <c r="V8">
        <f t="shared" si="677"/>
        <v>-0.49750461558612996</v>
      </c>
      <c r="W8">
        <f t="shared" si="678"/>
        <v>0.352103663852607</v>
      </c>
      <c r="X8">
        <f t="shared" si="679"/>
        <v>-0.84960827943873696</v>
      </c>
      <c r="Y8">
        <f t="shared" si="680"/>
        <v>0.623578348322951</v>
      </c>
      <c r="Z8">
        <f t="shared" si="681"/>
        <v>-2.0717993234467098</v>
      </c>
      <c r="AA8">
        <f t="shared" si="682"/>
        <v>0.372582764569233</v>
      </c>
      <c r="AC8">
        <f t="shared" si="687"/>
        <v>5</v>
      </c>
      <c r="AD8">
        <f t="shared" si="683"/>
        <v>6.1875941616300798</v>
      </c>
      <c r="AF8" t="e">
        <v>#NAME?</v>
      </c>
      <c r="AG8" t="e">
        <v>#NAME?</v>
      </c>
      <c r="AH8" t="e">
        <v>#NAME?</v>
      </c>
      <c r="AI8" t="e">
        <v>#NAME?</v>
      </c>
      <c r="AK8" t="s">
        <v>378</v>
      </c>
      <c r="AL8" t="e">
        <f>1-(1-AL7)*(AL10-1)/(AL10-AL14-1)</f>
        <v>#NAME?</v>
      </c>
      <c r="AN8" s="14" t="s">
        <v>395</v>
      </c>
      <c r="AO8" s="14" t="e">
        <f>AL10*LN(AM15/AL10)+(AL14+1)*LN(AL10)</f>
        <v>#NAME?</v>
      </c>
    </row>
    <row r="9">
      <c r="A9" s="15">
        <f t="shared" si="684"/>
        <v>6</v>
      </c>
      <c r="B9">
        <f>'AR 2'!C9</f>
        <v>5.8129764708798204</v>
      </c>
      <c r="D9">
        <f t="shared" si="685"/>
        <v>6</v>
      </c>
      <c r="E9">
        <f t="shared" si="675"/>
        <v>-0.87212230633638899</v>
      </c>
      <c r="F9">
        <f t="shared" si="688"/>
        <v>9.1920079244106001e-02</v>
      </c>
      <c r="I9" t="s">
        <v>464</v>
      </c>
      <c r="J9" s="18">
        <f>SUMSQ(F7:F23)</f>
        <v>5.0550494344633297</v>
      </c>
      <c r="U9">
        <f t="shared" si="676"/>
        <v>6</v>
      </c>
      <c r="V9">
        <f t="shared" si="677"/>
        <v>-0.87212230633638899</v>
      </c>
      <c r="W9">
        <f t="shared" si="678"/>
        <v>9.1920079244106001e-02</v>
      </c>
      <c r="X9">
        <f t="shared" si="679"/>
        <v>-0.96404238558049504</v>
      </c>
      <c r="Y9">
        <f t="shared" si="680"/>
        <v>0.623578348322951</v>
      </c>
      <c r="Z9">
        <f t="shared" si="681"/>
        <v>-2.1862334295884698</v>
      </c>
      <c r="AA9">
        <f t="shared" si="682"/>
        <v>0.25814865842747498</v>
      </c>
      <c r="AC9">
        <f t="shared" si="687"/>
        <v>6</v>
      </c>
      <c r="AD9">
        <f t="shared" si="683"/>
        <v>5.8129764708798204</v>
      </c>
      <c r="AF9" t="e">
        <v>#NAME?</v>
      </c>
      <c r="AG9" t="e">
        <v>#NAME?</v>
      </c>
      <c r="AH9" t="e">
        <v>#NAME?</v>
      </c>
      <c r="AI9" t="e">
        <v>#NAME?</v>
      </c>
      <c r="AK9" t="s">
        <v>381</v>
      </c>
      <c r="AL9" t="e">
        <f>SQRT(AN15)</f>
        <v>#NAME?</v>
      </c>
    </row>
    <row r="10">
      <c r="A10" s="15">
        <f t="shared" si="684"/>
        <v>7</v>
      </c>
      <c r="B10">
        <f>'AR 2'!C10</f>
        <v>7.1200726875188396</v>
      </c>
      <c r="D10">
        <f t="shared" si="685"/>
        <v>7</v>
      </c>
      <c r="E10">
        <f t="shared" ref="E10:E23" si="689">B10-J$7</f>
        <v>0.43497391030263</v>
      </c>
      <c r="F10">
        <f>E10-SUMPRODUCT(E7:E9,I$4:I$6)</f>
        <v>0.43380128445471905</v>
      </c>
      <c r="L10" s="24" t="s">
        <v>469</v>
      </c>
      <c r="M10" s="24" t="s">
        <v>470</v>
      </c>
      <c r="N10" s="24" t="s">
        <v>484</v>
      </c>
      <c r="P10" t="s">
        <v>496</v>
      </c>
      <c r="Q10" s="16" t="s">
        <v>363</v>
      </c>
      <c r="U10">
        <f t="shared" ref="U10:U23" si="690">D10</f>
        <v>7</v>
      </c>
      <c r="V10">
        <f t="shared" ref="V10:V73" si="691">E10</f>
        <v>0.43497391030263</v>
      </c>
      <c r="W10">
        <f t="shared" ref="W10:W73" si="692">F10</f>
        <v>0.43380128445471905</v>
      </c>
      <c r="X10">
        <f t="shared" ref="X10:X23" si="693">V10-W10</f>
        <v>1.1726258479109999e-03</v>
      </c>
      <c r="Y10">
        <f t="shared" si="680"/>
        <v>0.623578348322951</v>
      </c>
      <c r="Z10">
        <f t="shared" ref="Z10:Z28" si="694">X10-NORMSINV(1-Y$2/2)*Y10</f>
        <v>-1.2210184181600601</v>
      </c>
      <c r="AA10">
        <f t="shared" ref="AA10:AA28" si="695">X10+NORMSINV(1-Y$2/2)*Y10</f>
        <v>1.2233636698558801</v>
      </c>
      <c r="AC10">
        <f t="shared" si="687"/>
        <v>7</v>
      </c>
      <c r="AD10">
        <f t="shared" ref="AD10:AD23" si="696">B10</f>
        <v>7.1200726875188396</v>
      </c>
      <c r="AF10" t="e">
        <v>#NAME?</v>
      </c>
      <c r="AG10" t="e">
        <v>#NAME?</v>
      </c>
      <c r="AH10" t="e">
        <v>#NAME?</v>
      </c>
      <c r="AI10" t="e">
        <v>#NAME?</v>
      </c>
      <c r="AK10" s="14" t="s">
        <v>383</v>
      </c>
      <c r="AL10" s="14">
        <f>COUNT(AI6:AI22)</f>
        <v>0</v>
      </c>
    </row>
    <row r="11">
      <c r="A11" s="15">
        <f t="shared" ref="A11:A23" si="697">A10+1</f>
        <v>8</v>
      </c>
      <c r="B11">
        <f>'AR 2'!C11</f>
        <v>8.5019149332741097</v>
      </c>
      <c r="D11">
        <f t="shared" ref="D11:D74" si="698">D10+1</f>
        <v>8</v>
      </c>
      <c r="E11">
        <f t="shared" si="689"/>
        <v>1.8168161560578999</v>
      </c>
      <c r="F11">
        <f t="shared" ref="F11:F12" si="699">E11-SUMPRODUCT(E8:E10,I$4:I$6)</f>
        <v>1.15910167205004</v>
      </c>
      <c r="I11" t="s">
        <v>497</v>
      </c>
      <c r="J11" s="7">
        <v>3</v>
      </c>
      <c r="U11">
        <f t="shared" si="690"/>
        <v>8</v>
      </c>
      <c r="V11">
        <f t="shared" si="691"/>
        <v>1.8168161560578999</v>
      </c>
      <c r="W11">
        <f t="shared" si="692"/>
        <v>1.15910167205004</v>
      </c>
      <c r="X11">
        <f t="shared" si="693"/>
        <v>0.65771448400786003</v>
      </c>
      <c r="Y11">
        <f t="shared" si="680"/>
        <v>0.623578348322951</v>
      </c>
      <c r="Z11">
        <f t="shared" si="694"/>
        <v>-0.56447656000011004</v>
      </c>
      <c r="AA11">
        <f t="shared" si="695"/>
        <v>1.8799055280158301</v>
      </c>
      <c r="AC11">
        <f t="shared" ref="AC11:AC74" si="700">AC10+1</f>
        <v>8</v>
      </c>
      <c r="AD11">
        <f t="shared" si="696"/>
        <v>8.5019149332741097</v>
      </c>
      <c r="AF11" t="e">
        <v>#NAME?</v>
      </c>
      <c r="AG11" t="e">
        <v>#NAME?</v>
      </c>
      <c r="AH11" t="e">
        <v>#NAME?</v>
      </c>
      <c r="AI11" t="e">
        <v>#NAME?</v>
      </c>
    </row>
    <row r="12">
      <c r="A12" s="15">
        <f t="shared" si="697"/>
        <v>9</v>
      </c>
      <c r="B12">
        <f>'AR 2'!C12</f>
        <v>7.3012221051820596</v>
      </c>
      <c r="D12">
        <f t="shared" si="698"/>
        <v>9</v>
      </c>
      <c r="E12">
        <f t="shared" si="689"/>
        <v>0.61612332796585001</v>
      </c>
      <c r="F12">
        <f t="shared" si="699"/>
        <v>0.24991668487532598</v>
      </c>
      <c r="I12" t="s">
        <v>498</v>
      </c>
      <c r="J12" s="10">
        <v>0</v>
      </c>
      <c r="L12" t="s">
        <v>499</v>
      </c>
      <c r="U12">
        <f t="shared" si="690"/>
        <v>9</v>
      </c>
      <c r="V12">
        <f t="shared" si="691"/>
        <v>0.61612332796585001</v>
      </c>
      <c r="W12">
        <f t="shared" si="692"/>
        <v>0.24991668487532598</v>
      </c>
      <c r="X12">
        <f t="shared" si="693"/>
        <v>0.36620664309052398</v>
      </c>
      <c r="Y12">
        <f t="shared" si="680"/>
        <v>0.623578348322951</v>
      </c>
      <c r="Z12">
        <f t="shared" si="694"/>
        <v>-0.85598440091744599</v>
      </c>
      <c r="AA12">
        <f t="shared" si="695"/>
        <v>1.5883976870984899</v>
      </c>
      <c r="AC12">
        <f t="shared" si="700"/>
        <v>9</v>
      </c>
      <c r="AD12">
        <f t="shared" si="696"/>
        <v>7.3012221051820596</v>
      </c>
      <c r="AF12" t="e">
        <v>#NAME?</v>
      </c>
      <c r="AG12" t="e">
        <v>#NAME?</v>
      </c>
      <c r="AH12" t="e">
        <v>#NAME?</v>
      </c>
      <c r="AI12" t="e">
        <v>#NAME?</v>
      </c>
      <c r="AK12" t="s">
        <v>384</v>
      </c>
      <c r="AO12" s="15" t="s">
        <v>385</v>
      </c>
      <c r="AP12" s="15">
        <v>5.0000000000000003e-02</v>
      </c>
    </row>
    <row r="13">
      <c r="A13" s="15">
        <f t="shared" si="697"/>
        <v>10</v>
      </c>
      <c r="B13">
        <f>'AR 2'!C13</f>
        <v>6.0388768293832698</v>
      </c>
      <c r="D13">
        <f t="shared" si="698"/>
        <v>10</v>
      </c>
      <c r="E13">
        <f t="shared" si="689"/>
        <v>-0.64622194783293996</v>
      </c>
      <c r="F13">
        <f t="shared" ref="F13:F23" si="701">E13-SUMPRODUCT(E10:E12,I$4:I$6)</f>
        <v>0.30971291495953102</v>
      </c>
      <c r="I13" t="s">
        <v>181</v>
      </c>
      <c r="J13" s="10">
        <v>0</v>
      </c>
      <c r="U13">
        <f t="shared" si="690"/>
        <v>10</v>
      </c>
      <c r="V13">
        <f t="shared" si="691"/>
        <v>-0.64622194783293996</v>
      </c>
      <c r="W13">
        <f t="shared" si="692"/>
        <v>0.30971291495953102</v>
      </c>
      <c r="X13">
        <f t="shared" si="693"/>
        <v>-0.95593486279247097</v>
      </c>
      <c r="Y13">
        <f t="shared" si="680"/>
        <v>0.623578348322951</v>
      </c>
      <c r="Z13">
        <f t="shared" si="694"/>
        <v>-2.1781259068004402</v>
      </c>
      <c r="AA13">
        <f t="shared" si="695"/>
        <v>0.26625618121549899</v>
      </c>
      <c r="AC13">
        <f t="shared" si="700"/>
        <v>10</v>
      </c>
      <c r="AD13">
        <f t="shared" si="696"/>
        <v>6.0388768293832698</v>
      </c>
      <c r="AF13" t="e">
        <v>#NAME?</v>
      </c>
      <c r="AG13" t="e">
        <v>#NAME?</v>
      </c>
      <c r="AH13" t="e">
        <v>#NAME?</v>
      </c>
      <c r="AI13" t="e">
        <v>#NAME?</v>
      </c>
      <c r="AK13" s="24"/>
      <c r="AL13" s="24" t="s">
        <v>294</v>
      </c>
      <c r="AM13" s="24" t="s">
        <v>386</v>
      </c>
      <c r="AN13" s="24" t="s">
        <v>387</v>
      </c>
      <c r="AO13" s="24" t="s">
        <v>388</v>
      </c>
      <c r="AP13" s="24" t="s">
        <v>189</v>
      </c>
      <c r="AQ13" s="24" t="s">
        <v>204</v>
      </c>
    </row>
    <row r="14">
      <c r="A14" s="15">
        <f t="shared" si="697"/>
        <v>11</v>
      </c>
      <c r="B14">
        <f>'AR 2'!C14</f>
        <v>4.7460896891377899</v>
      </c>
      <c r="D14">
        <f t="shared" si="698"/>
        <v>11</v>
      </c>
      <c r="E14">
        <f t="shared" si="689"/>
        <v>-1.9390090880784201</v>
      </c>
      <c r="F14">
        <f t="shared" si="701"/>
        <v>-0.79010140376543003</v>
      </c>
      <c r="I14" t="s">
        <v>500</v>
      </c>
      <c r="J14" s="10">
        <f>AVERAGE(F7:F23)</f>
        <v>3.73118059497553e-06</v>
      </c>
      <c r="L14" s="24" t="s">
        <v>481</v>
      </c>
      <c r="M14" s="24" t="s">
        <v>501</v>
      </c>
      <c r="U14">
        <f t="shared" si="690"/>
        <v>11</v>
      </c>
      <c r="V14">
        <f t="shared" si="691"/>
        <v>-1.9390090880784201</v>
      </c>
      <c r="W14">
        <f t="shared" si="692"/>
        <v>-0.79010140376543003</v>
      </c>
      <c r="X14">
        <f t="shared" si="693"/>
        <v>-1.14890768431299</v>
      </c>
      <c r="Y14">
        <f t="shared" si="680"/>
        <v>0.623578348322951</v>
      </c>
      <c r="Z14">
        <f t="shared" si="694"/>
        <v>-2.3710987283209599</v>
      </c>
      <c r="AA14">
        <f t="shared" si="695"/>
        <v>7.3283359694979996e-02</v>
      </c>
      <c r="AC14">
        <f t="shared" si="700"/>
        <v>11</v>
      </c>
      <c r="AD14">
        <f t="shared" si="696"/>
        <v>4.7460896891377899</v>
      </c>
      <c r="AF14" t="e">
        <v>#NAME?</v>
      </c>
      <c r="AG14" t="e">
        <v>#NAME?</v>
      </c>
      <c r="AH14" t="e">
        <v>#NAME?</v>
      </c>
      <c r="AI14" t="e">
        <v>#NAME?</v>
      </c>
      <c r="AK14" t="s">
        <v>389</v>
      </c>
      <c r="AL14">
        <f>COUNT(AF6:AH6)</f>
        <v>0</v>
      </c>
      <c r="AM14" t="e">
        <v>#NAME?</v>
      </c>
      <c r="AN14" t="e">
        <f t="shared" ref="AN14:AN15" si="702">AM14/AL14</f>
        <v>#NAME?</v>
      </c>
      <c r="AO14" t="e">
        <f>AN14/AN15</f>
        <v>#NAME?</v>
      </c>
      <c r="AP14" t="e">
        <f>FDIST(AO14,AL14,AL15)</f>
        <v>#NAME?</v>
      </c>
      <c r="AQ14" s="15" t="e">
        <f>IF(AP14&lt;AP12,"yes","no")</f>
        <v>#NAME?</v>
      </c>
    </row>
    <row r="15">
      <c r="A15" s="15">
        <f t="shared" si="697"/>
        <v>12</v>
      </c>
      <c r="B15">
        <f>'AR 2'!C15</f>
        <v>6.6536767183588399</v>
      </c>
      <c r="D15">
        <f t="shared" si="698"/>
        <v>12</v>
      </c>
      <c r="E15">
        <f t="shared" si="689"/>
        <v>-3.1422058857369997e-02</v>
      </c>
      <c r="F15">
        <f t="shared" si="701"/>
        <v>0.13716727833671899</v>
      </c>
      <c r="I15" t="s">
        <v>502</v>
      </c>
      <c r="J15" s="10">
        <f>STDEV(F7:F23)</f>
        <v>0.56208592727372797</v>
      </c>
      <c r="L15" s="42">
        <v>0</v>
      </c>
      <c r="M15" s="42" t="e">
        <v>#NAME?</v>
      </c>
      <c r="U15">
        <f t="shared" si="690"/>
        <v>12</v>
      </c>
      <c r="V15">
        <f t="shared" si="691"/>
        <v>-3.1422058857369997e-02</v>
      </c>
      <c r="W15">
        <f t="shared" si="692"/>
        <v>0.13716727833671899</v>
      </c>
      <c r="X15">
        <f t="shared" si="693"/>
        <v>-0.168589337194089</v>
      </c>
      <c r="Y15">
        <f t="shared" si="680"/>
        <v>0.623578348322951</v>
      </c>
      <c r="Z15">
        <f t="shared" si="694"/>
        <v>-1.39078038120206</v>
      </c>
      <c r="AA15">
        <f t="shared" si="695"/>
        <v>1.0536017068138801</v>
      </c>
      <c r="AC15">
        <f t="shared" si="700"/>
        <v>12</v>
      </c>
      <c r="AD15">
        <f t="shared" si="696"/>
        <v>6.6536767183588399</v>
      </c>
      <c r="AF15" t="e">
        <v>#NAME?</v>
      </c>
      <c r="AG15" t="e">
        <v>#NAME?</v>
      </c>
      <c r="AH15" t="e">
        <v>#NAME?</v>
      </c>
      <c r="AI15" t="e">
        <v>#NAME?</v>
      </c>
      <c r="AK15" t="s">
        <v>342</v>
      </c>
      <c r="AL15">
        <f>AL16-AL14</f>
        <v>-1</v>
      </c>
      <c r="AM15" t="e">
        <f>AM16-AM14</f>
        <v>#NAME?</v>
      </c>
      <c r="AN15" t="e">
        <f t="shared" si="702"/>
        <v>#NAME?</v>
      </c>
    </row>
    <row r="16">
      <c r="A16" s="15">
        <f t="shared" si="697"/>
        <v>13</v>
      </c>
      <c r="B16">
        <f>'AR 2'!C16</f>
        <v>8.1939759194869595</v>
      </c>
      <c r="D16">
        <f t="shared" si="698"/>
        <v>13</v>
      </c>
      <c r="E16">
        <f t="shared" si="689"/>
        <v>1.5088771422707501</v>
      </c>
      <c r="F16">
        <f t="shared" si="701"/>
        <v>0.34734585478336</v>
      </c>
      <c r="I16" t="s">
        <v>503</v>
      </c>
      <c r="J16" s="10">
        <f>SQRT(J9/(J19-J11-1))</f>
        <v>0.623578348322951</v>
      </c>
      <c r="L16">
        <f t="shared" ref="L16:L77" si="703">L15+1</f>
        <v>1</v>
      </c>
      <c r="M16" t="e">
        <v>#NAME?</v>
      </c>
      <c r="U16">
        <f t="shared" si="690"/>
        <v>13</v>
      </c>
      <c r="V16">
        <f t="shared" si="691"/>
        <v>1.5088771422707501</v>
      </c>
      <c r="W16">
        <f t="shared" si="692"/>
        <v>0.34734585478336</v>
      </c>
      <c r="X16">
        <f t="shared" si="693"/>
        <v>1.16153128748739</v>
      </c>
      <c r="Y16">
        <f t="shared" si="680"/>
        <v>0.623578348322951</v>
      </c>
      <c r="Z16">
        <f t="shared" si="694"/>
        <v>-6.0659756520580005e-02</v>
      </c>
      <c r="AA16">
        <f t="shared" si="695"/>
        <v>2.3837223314953602</v>
      </c>
      <c r="AC16">
        <f t="shared" si="700"/>
        <v>13</v>
      </c>
      <c r="AD16">
        <f t="shared" si="696"/>
        <v>8.1939759194869595</v>
      </c>
      <c r="AF16" t="e">
        <v>#NAME?</v>
      </c>
      <c r="AG16" t="e">
        <v>#NAME?</v>
      </c>
      <c r="AH16" t="e">
        <v>#NAME?</v>
      </c>
      <c r="AI16" t="e">
        <v>#NAME?</v>
      </c>
      <c r="AK16" s="14" t="s">
        <v>390</v>
      </c>
      <c r="AL16" s="14">
        <f>AL10-1</f>
        <v>-1</v>
      </c>
      <c r="AM16" s="14" t="e">
        <f>DEVSQ(AI6:AI22)</f>
        <v>#NAME?</v>
      </c>
      <c r="AN16" s="14"/>
      <c r="AO16" s="14"/>
      <c r="AP16" s="14"/>
      <c r="AQ16" s="14"/>
    </row>
    <row r="17">
      <c r="A17" s="15">
        <f t="shared" si="697"/>
        <v>14</v>
      </c>
      <c r="B17">
        <f>'AR 2'!C17</f>
        <v>7.5602635334693504</v>
      </c>
      <c r="D17">
        <f t="shared" si="698"/>
        <v>14</v>
      </c>
      <c r="E17">
        <f t="shared" si="689"/>
        <v>0.87516475625314105</v>
      </c>
      <c r="F17">
        <f t="shared" si="701"/>
        <v>-0.146742095000199</v>
      </c>
      <c r="I17" t="s">
        <v>504</v>
      </c>
      <c r="J17" s="10">
        <f>AVERAGE(E7:E23)</f>
        <v>9.0637500982300011e-04</v>
      </c>
      <c r="L17">
        <f t="shared" si="703"/>
        <v>2</v>
      </c>
      <c r="M17" t="e">
        <v>#NAME?</v>
      </c>
      <c r="U17">
        <f t="shared" si="690"/>
        <v>14</v>
      </c>
      <c r="V17">
        <f t="shared" si="691"/>
        <v>0.87516475625314105</v>
      </c>
      <c r="W17">
        <f t="shared" si="692"/>
        <v>-0.146742095000199</v>
      </c>
      <c r="X17">
        <f t="shared" si="693"/>
        <v>1.02190685125334</v>
      </c>
      <c r="Y17">
        <f t="shared" si="680"/>
        <v>0.623578348322951</v>
      </c>
      <c r="Z17">
        <f t="shared" si="694"/>
        <v>-0.20028419275463</v>
      </c>
      <c r="AA17">
        <f t="shared" si="695"/>
        <v>2.24409789526131</v>
      </c>
      <c r="AC17">
        <f t="shared" si="700"/>
        <v>14</v>
      </c>
      <c r="AD17">
        <f t="shared" si="696"/>
        <v>7.5602635334693504</v>
      </c>
      <c r="AF17" t="e">
        <v>#NAME?</v>
      </c>
      <c r="AG17" t="e">
        <v>#NAME?</v>
      </c>
      <c r="AH17" t="e">
        <v>#NAME?</v>
      </c>
      <c r="AI17" t="e">
        <v>#NAME?</v>
      </c>
    </row>
    <row r="18">
      <c r="A18" s="15">
        <f t="shared" si="697"/>
        <v>15</v>
      </c>
      <c r="B18">
        <f>'AR 2'!C18</f>
        <v>6.7944512971362103</v>
      </c>
      <c r="D18">
        <f t="shared" si="698"/>
        <v>15</v>
      </c>
      <c r="E18">
        <f t="shared" si="689"/>
        <v>0.10935251992000099</v>
      </c>
      <c r="F18">
        <f t="shared" si="701"/>
        <v>0.69360984652903901</v>
      </c>
      <c r="I18" t="s">
        <v>505</v>
      </c>
      <c r="J18" s="10">
        <f>STDEV(E7:E23)</f>
        <v>1.02886401671897</v>
      </c>
      <c r="L18">
        <f t="shared" si="703"/>
        <v>3</v>
      </c>
      <c r="M18" t="e">
        <v>#NAME?</v>
      </c>
      <c r="U18">
        <f t="shared" si="690"/>
        <v>15</v>
      </c>
      <c r="V18">
        <f t="shared" si="691"/>
        <v>0.10935251992000099</v>
      </c>
      <c r="W18">
        <f t="shared" si="692"/>
        <v>0.69360984652903901</v>
      </c>
      <c r="X18">
        <f t="shared" si="693"/>
        <v>-0.58425732660903795</v>
      </c>
      <c r="Y18">
        <f t="shared" si="680"/>
        <v>0.623578348322951</v>
      </c>
      <c r="Z18">
        <f t="shared" si="694"/>
        <v>-1.80644837061701</v>
      </c>
      <c r="AA18">
        <f t="shared" si="695"/>
        <v>0.63793371739893201</v>
      </c>
      <c r="AC18">
        <f t="shared" si="700"/>
        <v>15</v>
      </c>
      <c r="AD18">
        <f t="shared" si="696"/>
        <v>6.7944512971362103</v>
      </c>
      <c r="AF18" t="e">
        <v>#NAME?</v>
      </c>
      <c r="AG18" t="e">
        <v>#NAME?</v>
      </c>
      <c r="AH18" t="e">
        <v>#NAME?</v>
      </c>
      <c r="AI18" t="e">
        <v>#NAME?</v>
      </c>
      <c r="AK18" s="24"/>
      <c r="AL18" s="24" t="s">
        <v>391</v>
      </c>
      <c r="AM18" s="24" t="s">
        <v>392</v>
      </c>
      <c r="AN18" s="24" t="s">
        <v>393</v>
      </c>
      <c r="AO18" s="24" t="s">
        <v>189</v>
      </c>
      <c r="AP18" s="24" t="s">
        <v>215</v>
      </c>
      <c r="AQ18" s="24" t="s">
        <v>216</v>
      </c>
      <c r="AR18" s="24" t="s">
        <v>397</v>
      </c>
    </row>
    <row r="19">
      <c r="A19" s="15">
        <f t="shared" si="697"/>
        <v>16</v>
      </c>
      <c r="B19">
        <f>'AR 2'!C19</f>
        <v>4.7244665351583901</v>
      </c>
      <c r="D19">
        <f t="shared" si="698"/>
        <v>16</v>
      </c>
      <c r="E19">
        <f t="shared" si="689"/>
        <v>-1.9606322420578199</v>
      </c>
      <c r="F19">
        <f t="shared" si="701"/>
        <v>-0.90432047440244001</v>
      </c>
      <c r="I19" t="s">
        <v>506</v>
      </c>
      <c r="J19" s="13">
        <f>COUNT(E7:E23)</f>
        <v>17</v>
      </c>
      <c r="L19" s="14">
        <f t="shared" si="703"/>
        <v>4</v>
      </c>
      <c r="M19" s="14" t="e">
        <v>#NAME?</v>
      </c>
      <c r="U19">
        <f t="shared" si="690"/>
        <v>16</v>
      </c>
      <c r="V19">
        <f t="shared" si="691"/>
        <v>-1.9606322420578199</v>
      </c>
      <c r="W19">
        <f t="shared" si="692"/>
        <v>-0.90432047440244001</v>
      </c>
      <c r="X19">
        <f t="shared" si="693"/>
        <v>-1.0563117676553799</v>
      </c>
      <c r="Y19">
        <f t="shared" si="680"/>
        <v>0.623578348322951</v>
      </c>
      <c r="Z19">
        <f t="shared" si="694"/>
        <v>-2.2785028116633499</v>
      </c>
      <c r="AA19">
        <f t="shared" si="695"/>
        <v>0.16587927635259</v>
      </c>
      <c r="AC19">
        <f t="shared" si="700"/>
        <v>16</v>
      </c>
      <c r="AD19">
        <f t="shared" si="696"/>
        <v>4.7244665351583901</v>
      </c>
      <c r="AF19" t="e">
        <v>#NAME?</v>
      </c>
      <c r="AG19" t="e">
        <v>#NAME?</v>
      </c>
      <c r="AH19" t="e">
        <v>#NAME?</v>
      </c>
      <c r="AI19" t="e">
        <v>#NAME?</v>
      </c>
      <c r="AK19" t="s">
        <v>396</v>
      </c>
      <c r="AL19" t="e">
        <v>#NAME?</v>
      </c>
      <c r="AM19" t="e">
        <v>#NAME?</v>
      </c>
      <c r="AN19" t="e">
        <f t="shared" ref="AN19:AN22" si="704">AL19/AM19</f>
        <v>#NAME?</v>
      </c>
      <c r="AO19" t="e">
        <f t="shared" ref="AO19:AO22" si="705">TDIST(ABS(AN19),$AL$15,2)</f>
        <v>#NAME?</v>
      </c>
      <c r="AP19" t="e">
        <f t="shared" ref="AP19:AP22" si="706">AL19-TINV(AP$12,$AL$15)*AM19</f>
        <v>#NAME?</v>
      </c>
      <c r="AQ19" t="e">
        <f t="shared" ref="AQ19:AQ22" si="707">AL19+TINV(AP$12,$AL$15)*AM19</f>
        <v>#NAME?</v>
      </c>
    </row>
    <row r="20">
      <c r="A20" s="15">
        <f t="shared" si="697"/>
        <v>17</v>
      </c>
      <c r="B20">
        <f>'AR 2'!C20</f>
        <v>6.0271551265385899</v>
      </c>
      <c r="D20">
        <f t="shared" si="698"/>
        <v>17</v>
      </c>
      <c r="E20">
        <f t="shared" si="689"/>
        <v>-0.65794365067761995</v>
      </c>
      <c r="F20">
        <f t="shared" si="701"/>
        <v>-3.0260166052380001e-02</v>
      </c>
      <c r="U20">
        <f t="shared" si="690"/>
        <v>17</v>
      </c>
      <c r="V20">
        <f t="shared" si="691"/>
        <v>-0.65794365067761995</v>
      </c>
      <c r="W20">
        <f t="shared" si="692"/>
        <v>-3.0260166052380001e-02</v>
      </c>
      <c r="X20">
        <f t="shared" si="693"/>
        <v>-0.62768348462524004</v>
      </c>
      <c r="Y20">
        <f t="shared" si="680"/>
        <v>0.623578348322951</v>
      </c>
      <c r="Z20">
        <f t="shared" si="694"/>
        <v>-1.8498745286332099</v>
      </c>
      <c r="AA20">
        <f t="shared" si="695"/>
        <v>0.59450755938273003</v>
      </c>
      <c r="AC20">
        <f t="shared" si="700"/>
        <v>17</v>
      </c>
      <c r="AD20">
        <f t="shared" si="696"/>
        <v>6.0271551265385899</v>
      </c>
      <c r="AF20" t="e">
        <v>#NAME?</v>
      </c>
      <c r="AG20" t="e">
        <v>#NAME?</v>
      </c>
      <c r="AH20" t="e">
        <v>#NAME?</v>
      </c>
      <c r="AI20" t="e">
        <v>#NAME?</v>
      </c>
      <c r="AK20" t="str">
        <f t="array" ref="AK20:AK22">TRANSPOSE(AF5:AH5)</f>
        <v>x1</v>
      </c>
      <c r="AL20" t="e">
        <v>#NAME?</v>
      </c>
      <c r="AM20" t="e">
        <v>#NAME?</v>
      </c>
      <c r="AN20" t="e">
        <f t="shared" si="704"/>
        <v>#NAME?</v>
      </c>
      <c r="AO20" t="e">
        <f t="shared" si="705"/>
        <v>#NAME?</v>
      </c>
      <c r="AP20" t="e">
        <f t="shared" si="706"/>
        <v>#NAME?</v>
      </c>
      <c r="AQ20" t="e">
        <f t="shared" si="707"/>
        <v>#NAME?</v>
      </c>
      <c r="AR20" t="e">
        <v>#NAME?</v>
      </c>
    </row>
    <row r="21">
      <c r="A21" s="15">
        <f t="shared" si="697"/>
        <v>18</v>
      </c>
      <c r="B21">
        <f>'AR 2'!C21</f>
        <v>7.1259100258620904</v>
      </c>
      <c r="D21">
        <f t="shared" si="698"/>
        <v>18</v>
      </c>
      <c r="E21">
        <f t="shared" si="689"/>
        <v>0.440811248645881</v>
      </c>
      <c r="F21">
        <f t="shared" si="701"/>
        <v>-0.33411685115707801</v>
      </c>
      <c r="I21" t="s">
        <v>507</v>
      </c>
      <c r="J21" s="7">
        <f>-(J24-2*(J11+J12+1))/2</f>
        <v>-13.812936509832101</v>
      </c>
      <c r="U21">
        <f t="shared" si="690"/>
        <v>18</v>
      </c>
      <c r="V21">
        <f t="shared" si="691"/>
        <v>0.440811248645881</v>
      </c>
      <c r="W21">
        <f t="shared" si="692"/>
        <v>-0.33411685115707801</v>
      </c>
      <c r="X21">
        <f t="shared" si="693"/>
        <v>0.77492809980295896</v>
      </c>
      <c r="Y21">
        <f t="shared" si="680"/>
        <v>0.623578348322951</v>
      </c>
      <c r="Z21">
        <f t="shared" si="694"/>
        <v>-0.447262944205011</v>
      </c>
      <c r="AA21">
        <f t="shared" si="695"/>
        <v>1.9971191438109299</v>
      </c>
      <c r="AC21">
        <f t="shared" si="700"/>
        <v>18</v>
      </c>
      <c r="AD21">
        <f t="shared" si="696"/>
        <v>7.1259100258620904</v>
      </c>
      <c r="AF21" t="e">
        <v>#NAME?</v>
      </c>
      <c r="AG21" t="e">
        <v>#NAME?</v>
      </c>
      <c r="AH21" t="e">
        <v>#NAME?</v>
      </c>
      <c r="AI21" t="e">
        <v>#NAME?</v>
      </c>
      <c r="AK21" t="str">
        <f/>
        <v>x2</v>
      </c>
      <c r="AL21" t="e">
        <v>#NAME?</v>
      </c>
      <c r="AM21" t="e">
        <v>#NAME?</v>
      </c>
      <c r="AN21" t="e">
        <f t="shared" si="704"/>
        <v>#NAME?</v>
      </c>
      <c r="AO21" t="e">
        <f t="shared" si="705"/>
        <v>#NAME?</v>
      </c>
      <c r="AP21" t="e">
        <f t="shared" si="706"/>
        <v>#NAME?</v>
      </c>
      <c r="AQ21" t="e">
        <f t="shared" si="707"/>
        <v>#NAME?</v>
      </c>
      <c r="AR21" t="e">
        <v>#NAME?</v>
      </c>
    </row>
    <row r="22">
      <c r="A22" s="15">
        <f t="shared" si="697"/>
        <v>19</v>
      </c>
      <c r="B22">
        <f>'AR 2'!C22</f>
        <v>7.19124782949216</v>
      </c>
      <c r="D22">
        <f t="shared" si="698"/>
        <v>19</v>
      </c>
      <c r="E22">
        <f t="shared" si="689"/>
        <v>0.50614905227595097</v>
      </c>
      <c r="F22">
        <f t="shared" si="701"/>
        <v>-0.70581872329835904</v>
      </c>
      <c r="I22" t="s">
        <v>374</v>
      </c>
      <c r="J22" s="10">
        <f>J19*LN(J9/J19)+2*(J11+J12+1)</f>
        <v>-12.618037109294701</v>
      </c>
      <c r="U22">
        <f t="shared" si="690"/>
        <v>19</v>
      </c>
      <c r="V22">
        <f t="shared" si="691"/>
        <v>0.50614905227595097</v>
      </c>
      <c r="W22">
        <f t="shared" si="692"/>
        <v>-0.70581872329835904</v>
      </c>
      <c r="X22">
        <f t="shared" si="693"/>
        <v>1.2119677755743099</v>
      </c>
      <c r="Y22">
        <f t="shared" si="680"/>
        <v>0.623578348322951</v>
      </c>
      <c r="Z22">
        <f t="shared" si="694"/>
        <v>-1.0223268433659997e-02</v>
      </c>
      <c r="AA22">
        <f t="shared" si="695"/>
        <v>2.4341588195822799</v>
      </c>
      <c r="AC22">
        <f t="shared" si="700"/>
        <v>19</v>
      </c>
      <c r="AD22">
        <f t="shared" si="696"/>
        <v>7.19124782949216</v>
      </c>
      <c r="AF22" s="14" t="e">
        <v>#NAME?</v>
      </c>
      <c r="AG22" s="14" t="e">
        <v>#NAME?</v>
      </c>
      <c r="AH22" s="14" t="e">
        <v>#NAME?</v>
      </c>
      <c r="AI22" s="14" t="e">
        <v>#NAME?</v>
      </c>
      <c r="AK22" s="14" t="str">
        <f/>
        <v>x3</v>
      </c>
      <c r="AL22" s="14" t="e">
        <v>#NAME?</v>
      </c>
      <c r="AM22" s="14" t="e">
        <v>#NAME?</v>
      </c>
      <c r="AN22" s="14" t="e">
        <f t="shared" si="704"/>
        <v>#NAME?</v>
      </c>
      <c r="AO22" s="14" t="e">
        <f t="shared" si="705"/>
        <v>#NAME?</v>
      </c>
      <c r="AP22" s="14" t="e">
        <f t="shared" si="706"/>
        <v>#NAME?</v>
      </c>
      <c r="AQ22" s="14" t="e">
        <f t="shared" si="707"/>
        <v>#NAME?</v>
      </c>
      <c r="AR22" s="14" t="e">
        <v>#NAME?</v>
      </c>
    </row>
    <row r="23">
      <c r="A23" s="15">
        <f t="shared" si="697"/>
        <v>20</v>
      </c>
      <c r="B23" s="14">
        <f>'AR 2'!C23</f>
        <v>6.6826916383449904</v>
      </c>
      <c r="D23" s="14">
        <f t="shared" si="698"/>
        <v>20</v>
      </c>
      <c r="E23" s="14">
        <f t="shared" si="689"/>
        <v>-2.4071388712189998e-03</v>
      </c>
      <c r="F23" s="14">
        <f t="shared" si="701"/>
        <v>-0.14434819301679799</v>
      </c>
      <c r="I23" t="s">
        <v>508</v>
      </c>
      <c r="J23" s="10">
        <f>J19*LN(J9/J19)+LN(J19)*(J11+J12+1)</f>
        <v>-9.2851837330698004</v>
      </c>
      <c r="U23">
        <f t="shared" si="690"/>
        <v>20</v>
      </c>
      <c r="V23">
        <f t="shared" si="691"/>
        <v>-2.4071388712189998e-03</v>
      </c>
      <c r="W23">
        <f t="shared" si="692"/>
        <v>-0.14434819301679799</v>
      </c>
      <c r="X23">
        <f t="shared" si="693"/>
        <v>0.141941054145579</v>
      </c>
      <c r="Y23">
        <f t="shared" si="680"/>
        <v>0.623578348322951</v>
      </c>
      <c r="Z23">
        <f t="shared" si="694"/>
        <v>-1.0802499898623901</v>
      </c>
      <c r="AA23">
        <f t="shared" si="695"/>
        <v>1.3641320981535501</v>
      </c>
      <c r="AC23" s="14">
        <f t="shared" si="700"/>
        <v>20</v>
      </c>
      <c r="AD23" s="14">
        <f t="shared" si="696"/>
        <v>6.6826916383449904</v>
      </c>
    </row>
    <row r="24">
      <c r="I24" t="s">
        <v>509</v>
      </c>
      <c r="J24" s="10">
        <f>J19*(1+LN(2*PI()))+J22</f>
        <v>35.625873019664098</v>
      </c>
      <c r="U24">
        <f t="shared" ref="U24:U28" si="708">U23+1</f>
        <v>21</v>
      </c>
      <c r="X24">
        <f>SUMPRODUCT(V21:V23,I$4:I$6)</f>
        <v>-0.42522468621187598</v>
      </c>
      <c r="Y24" t="e">
        <f t="shared" ref="Y24:Y28" si="709">J$16*SQRT(SUMSQ(M$15:M15))</f>
        <v>#NAME?</v>
      </c>
      <c r="Z24" t="e">
        <f t="shared" si="694"/>
        <v>#NAME?</v>
      </c>
      <c r="AA24" t="e">
        <f t="shared" si="695"/>
        <v>#NAME?</v>
      </c>
      <c r="AC24">
        <f t="shared" si="700"/>
        <v>21</v>
      </c>
      <c r="AD24">
        <f t="shared" ref="AD24:AD28" si="710">X24+J$7</f>
        <v>6.2598740910043302</v>
      </c>
    </row>
    <row r="25">
      <c r="I25" t="s">
        <v>510</v>
      </c>
      <c r="J25" s="13">
        <f>J19*(1+LN(2*PI()))+J23</f>
        <v>38.958726395889002</v>
      </c>
      <c r="U25">
        <f t="shared" si="708"/>
        <v>22</v>
      </c>
      <c r="X25">
        <f>SUMPRODUCT(V22:V23,I4:I5)+SUMPRODUCT(X24,I6)</f>
        <v>-0.26497723364395698</v>
      </c>
      <c r="Y25" t="e">
        <f t="shared" si="709"/>
        <v>#NAME?</v>
      </c>
      <c r="Z25" t="e">
        <f t="shared" si="694"/>
        <v>#NAME?</v>
      </c>
      <c r="AA25" t="e">
        <f t="shared" si="695"/>
        <v>#NAME?</v>
      </c>
      <c r="AC25">
        <f t="shared" si="700"/>
        <v>22</v>
      </c>
      <c r="AD25">
        <f t="shared" si="710"/>
        <v>6.4201215435722503</v>
      </c>
    </row>
    <row r="26">
      <c r="U26">
        <f t="shared" si="708"/>
        <v>23</v>
      </c>
      <c r="X26">
        <f>SUMPRODUCT(V23,I4)+SUMPRODUCT(X24:X25,I5:I6)</f>
        <v>0.16789173371178501</v>
      </c>
      <c r="Y26" t="e">
        <f t="shared" si="709"/>
        <v>#NAME?</v>
      </c>
      <c r="Z26" t="e">
        <f t="shared" si="694"/>
        <v>#NAME?</v>
      </c>
      <c r="AA26" t="e">
        <f t="shared" si="695"/>
        <v>#NAME?</v>
      </c>
      <c r="AC26">
        <f t="shared" si="700"/>
        <v>23</v>
      </c>
      <c r="AD26">
        <f t="shared" si="710"/>
        <v>6.8529905109279996</v>
      </c>
    </row>
    <row r="27">
      <c r="U27">
        <f t="shared" si="708"/>
        <v>24</v>
      </c>
      <c r="X27">
        <f>SUMPRODUCT(X24:X26,I4:I6)</f>
        <v>0.32514477679611598</v>
      </c>
      <c r="Y27" t="e">
        <f t="shared" si="709"/>
        <v>#NAME?</v>
      </c>
      <c r="Z27" t="e">
        <f t="shared" si="694"/>
        <v>#NAME?</v>
      </c>
      <c r="AA27" t="e">
        <f t="shared" si="695"/>
        <v>#NAME?</v>
      </c>
      <c r="AC27">
        <f t="shared" si="700"/>
        <v>24</v>
      </c>
      <c r="AD27">
        <f t="shared" si="710"/>
        <v>7.0102435540123302</v>
      </c>
    </row>
    <row r="28">
      <c r="U28" s="14">
        <f t="shared" si="708"/>
        <v>25</v>
      </c>
      <c r="V28" s="14"/>
      <c r="W28" s="14"/>
      <c r="X28" s="14">
        <f>SUMPRODUCT(X25:X27,I4:I6)</f>
        <v>7.3222406689198993e-02</v>
      </c>
      <c r="Y28" s="14" t="e">
        <f t="shared" si="709"/>
        <v>#NAME?</v>
      </c>
      <c r="Z28" s="14" t="e">
        <f t="shared" si="694"/>
        <v>#NAME?</v>
      </c>
      <c r="AA28" s="14" t="e">
        <f t="shared" si="695"/>
        <v>#NAME?</v>
      </c>
      <c r="AC28" s="14">
        <f t="shared" si="700"/>
        <v>25</v>
      </c>
      <c r="AD28" s="14">
        <f t="shared" si="710"/>
        <v>6.7583211839054096</v>
      </c>
    </row>
    <row r="30">
      <c r="D30" t="s">
        <v>511</v>
      </c>
      <c r="H30" t="s">
        <v>475</v>
      </c>
      <c r="L30" t="s">
        <v>476</v>
      </c>
      <c r="P30" t="s">
        <v>477</v>
      </c>
      <c r="U30" t="s">
        <v>478</v>
      </c>
      <c r="AC30" t="s">
        <v>479</v>
      </c>
    </row>
    <row r="31">
      <c r="X31" t="s">
        <v>385</v>
      </c>
      <c r="Y31">
        <v>5.0000000000000003e-02</v>
      </c>
    </row>
    <row r="32">
      <c r="D32" s="24" t="s">
        <v>355</v>
      </c>
      <c r="E32" s="24" t="s">
        <v>173</v>
      </c>
      <c r="F32" s="24" t="s">
        <v>480</v>
      </c>
      <c r="H32" s="24" t="s">
        <v>481</v>
      </c>
      <c r="I32" s="24" t="s">
        <v>482</v>
      </c>
      <c r="J32" s="24" t="s">
        <v>483</v>
      </c>
      <c r="L32" s="24" t="s">
        <v>469</v>
      </c>
      <c r="M32" s="24" t="s">
        <v>470</v>
      </c>
      <c r="N32" s="24" t="s">
        <v>484</v>
      </c>
      <c r="P32" s="24" t="s">
        <v>485</v>
      </c>
      <c r="Q32" s="24" t="s">
        <v>486</v>
      </c>
      <c r="R32" s="24" t="s">
        <v>358</v>
      </c>
      <c r="S32" s="24" t="s">
        <v>189</v>
      </c>
      <c r="U32" s="24" t="s">
        <v>355</v>
      </c>
      <c r="V32" s="24" t="s">
        <v>173</v>
      </c>
      <c r="W32" s="24" t="s">
        <v>480</v>
      </c>
      <c r="X32" s="24" t="s">
        <v>208</v>
      </c>
      <c r="Y32" s="24" t="s">
        <v>183</v>
      </c>
      <c r="Z32" s="24" t="s">
        <v>215</v>
      </c>
      <c r="AA32" s="24" t="s">
        <v>216</v>
      </c>
      <c r="AC32" s="24" t="s">
        <v>355</v>
      </c>
      <c r="AD32" s="24" t="s">
        <v>193</v>
      </c>
    </row>
    <row r="33">
      <c r="D33">
        <v>1</v>
      </c>
      <c r="E33">
        <f t="shared" ref="E33:E38" si="711">B4-J$36</f>
        <v>-2.1583413073564599</v>
      </c>
      <c r="F33">
        <v>0</v>
      </c>
      <c r="H33" s="15">
        <v>3</v>
      </c>
      <c r="I33">
        <v>-0.44465412867337689</v>
      </c>
      <c r="J33">
        <v>0</v>
      </c>
      <c r="L33" t="e">
        <v>#NAME?</v>
      </c>
      <c r="M33" t="e">
        <v>#NAME?</v>
      </c>
      <c r="N33" t="e">
        <v>#NAME?</v>
      </c>
      <c r="P33" t="s">
        <v>488</v>
      </c>
      <c r="Q33">
        <f>I35</f>
        <v>9.6431296663485988e-02</v>
      </c>
      <c r="R33" t="e">
        <v>#NAME?</v>
      </c>
      <c r="S33" t="e">
        <f>CHIDIST(J48*(LN(R33)-LN(J38)),1)</f>
        <v>#NAME?</v>
      </c>
      <c r="U33">
        <f t="shared" ref="U33:U52" si="712">D33</f>
        <v>1</v>
      </c>
      <c r="V33">
        <f t="shared" si="691"/>
        <v>-2.1583413073564599</v>
      </c>
      <c r="W33">
        <f t="shared" si="692"/>
        <v>0</v>
      </c>
      <c r="X33">
        <f t="shared" ref="X33:X52" si="713">V33-W33</f>
        <v>-2.1583413073564599</v>
      </c>
      <c r="Y33">
        <f t="shared" ref="Y33:Y52" si="714">J$45</f>
        <v>0.54530344679460696</v>
      </c>
      <c r="Z33">
        <f t="shared" ref="Z33:Z57" si="715">X33-NORMSINV(1-Y$31/2)*Y33</f>
        <v>-3.2271163710375999</v>
      </c>
      <c r="AA33">
        <f t="shared" ref="AA33:AA57" si="716">X33+NORMSINV(1-Y$31/2)*Y33</f>
        <v>-1.08956624367532</v>
      </c>
      <c r="AC33">
        <v>1</v>
      </c>
      <c r="AD33">
        <f t="shared" ref="AD33:AD38" si="717">B4</f>
        <v>4.5267574698597501</v>
      </c>
    </row>
    <row r="34">
      <c r="D34">
        <f t="shared" si="698"/>
        <v>2</v>
      </c>
      <c r="E34">
        <f t="shared" si="711"/>
        <v>0.20827200029629003</v>
      </c>
      <c r="F34">
        <v>0</v>
      </c>
      <c r="H34" s="15">
        <f t="shared" ref="H34:H93" si="718">H33-1</f>
        <v>2</v>
      </c>
      <c r="I34">
        <v>-0.45240432632159988</v>
      </c>
      <c r="J34">
        <v>0</v>
      </c>
      <c r="L34" t="e">
        <v>#NAME?</v>
      </c>
      <c r="M34" t="e">
        <v>#NAME?</v>
      </c>
      <c r="N34" t="e">
        <v>#NAME?</v>
      </c>
      <c r="P34" t="s">
        <v>489</v>
      </c>
      <c r="Q34">
        <f>I34</f>
        <v>-0.45240432632159999</v>
      </c>
      <c r="R34" t="e">
        <v>#NAME?</v>
      </c>
      <c r="S34" t="e">
        <f>CHIDIST(J48*(LN(R34)-LN(J38)),1)</f>
        <v>#NAME?</v>
      </c>
      <c r="U34">
        <f t="shared" si="712"/>
        <v>2</v>
      </c>
      <c r="V34">
        <f t="shared" si="691"/>
        <v>0.20827200029629003</v>
      </c>
      <c r="W34">
        <f t="shared" si="692"/>
        <v>0</v>
      </c>
      <c r="X34">
        <f t="shared" si="713"/>
        <v>0.20827200029629003</v>
      </c>
      <c r="Y34">
        <f t="shared" si="714"/>
        <v>0.54530344679460696</v>
      </c>
      <c r="Z34">
        <f t="shared" si="715"/>
        <v>-0.86050306338485005</v>
      </c>
      <c r="AA34">
        <f t="shared" si="716"/>
        <v>1.2770470639774301</v>
      </c>
      <c r="AC34">
        <f t="shared" si="700"/>
        <v>2</v>
      </c>
      <c r="AD34">
        <f t="shared" si="717"/>
        <v>6.8933707775124997</v>
      </c>
    </row>
    <row r="35">
      <c r="D35">
        <f t="shared" si="698"/>
        <v>3</v>
      </c>
      <c r="E35">
        <f t="shared" si="711"/>
        <v>1.74029634035138</v>
      </c>
      <c r="F35">
        <v>0</v>
      </c>
      <c r="H35" s="15">
        <f t="shared" si="718"/>
        <v>1</v>
      </c>
      <c r="I35">
        <v>9.6431296663486404e-02</v>
      </c>
      <c r="J35">
        <v>0</v>
      </c>
      <c r="L35" s="14" t="e">
        <v>#NAME?</v>
      </c>
      <c r="M35" s="14" t="e">
        <v>#NAME?</v>
      </c>
      <c r="N35" s="14" t="e">
        <v>#NAME?</v>
      </c>
      <c r="P35" t="s">
        <v>493</v>
      </c>
      <c r="Q35">
        <f>I33</f>
        <v>-0.444654128673377</v>
      </c>
      <c r="R35" t="e">
        <v>#NAME?</v>
      </c>
      <c r="S35" t="e">
        <f>CHIDIST(J48*(LN(R35)-LN(J38)),1)</f>
        <v>#NAME?</v>
      </c>
      <c r="U35">
        <f t="shared" si="712"/>
        <v>3</v>
      </c>
      <c r="V35">
        <f t="shared" si="691"/>
        <v>1.74029634035138</v>
      </c>
      <c r="W35">
        <f t="shared" si="692"/>
        <v>0</v>
      </c>
      <c r="X35">
        <f t="shared" si="713"/>
        <v>1.74029634035138</v>
      </c>
      <c r="Y35">
        <f t="shared" si="714"/>
        <v>0.54530344679460696</v>
      </c>
      <c r="Z35">
        <f t="shared" si="715"/>
        <v>0.67152127667023997</v>
      </c>
      <c r="AA35">
        <f t="shared" si="716"/>
        <v>2.8090714040325202</v>
      </c>
      <c r="AC35">
        <f t="shared" si="700"/>
        <v>3</v>
      </c>
      <c r="AD35">
        <f t="shared" si="717"/>
        <v>8.4253951175675894</v>
      </c>
    </row>
    <row r="36">
      <c r="D36">
        <f t="shared" si="698"/>
        <v>4</v>
      </c>
      <c r="E36">
        <f t="shared" si="711"/>
        <v>0.31440330977280101</v>
      </c>
      <c r="F36">
        <f t="shared" ref="F36:F52" si="719">E36-SUMPRODUCT(E33:E35,I$33:I$35)</f>
        <v>-0.71890794232264899</v>
      </c>
      <c r="H36" s="17" t="s">
        <v>494</v>
      </c>
      <c r="I36" s="14">
        <f>J36*(1-SUM(I33:I35))</f>
        <v>12.0373704143841</v>
      </c>
      <c r="J36" s="14">
        <v>6.6850987772162123</v>
      </c>
      <c r="P36" t="s">
        <v>494</v>
      </c>
      <c r="Q36">
        <f>I36</f>
        <v>12.0373704143841</v>
      </c>
      <c r="R36" t="e">
        <v>#NAME?</v>
      </c>
      <c r="S36" t="e">
        <f>CHIDIST(J48*(LN(R36)-LN(J38)),1)</f>
        <v>#NAME?</v>
      </c>
      <c r="U36">
        <f t="shared" si="712"/>
        <v>4</v>
      </c>
      <c r="V36">
        <f t="shared" si="691"/>
        <v>0.31440330977280101</v>
      </c>
      <c r="W36">
        <f t="shared" si="692"/>
        <v>-0.71890794232264899</v>
      </c>
      <c r="X36">
        <f t="shared" si="713"/>
        <v>1.0333112520954499</v>
      </c>
      <c r="Y36">
        <f t="shared" si="714"/>
        <v>0.54530344679460696</v>
      </c>
      <c r="Z36">
        <f t="shared" si="715"/>
        <v>-3.5463811585690001e-02</v>
      </c>
      <c r="AA36">
        <f t="shared" si="716"/>
        <v>2.1020863157765901</v>
      </c>
      <c r="AC36">
        <f t="shared" si="700"/>
        <v>4</v>
      </c>
      <c r="AD36">
        <f t="shared" si="717"/>
        <v>6.9995020869890103</v>
      </c>
    </row>
    <row r="37">
      <c r="D37">
        <f t="shared" si="698"/>
        <v>5</v>
      </c>
      <c r="E37">
        <f t="shared" si="711"/>
        <v>-0.49750461558612996</v>
      </c>
      <c r="F37">
        <f t="shared" si="719"/>
        <v>0.352103663852607</v>
      </c>
      <c r="L37" t="s">
        <v>495</v>
      </c>
      <c r="P37" s="14" t="s">
        <v>283</v>
      </c>
      <c r="Q37" s="14">
        <f>J46</f>
        <v>9.0637500982300011e-04</v>
      </c>
      <c r="R37" s="14">
        <f>-Q37/(J47/SQRT(J48))</f>
        <v>-3.6322388976509994e-03</v>
      </c>
      <c r="S37" s="14">
        <f>TDIST(ABS(R37),J48-1,2)</f>
        <v>0.99714680142809797</v>
      </c>
      <c r="U37">
        <f t="shared" si="712"/>
        <v>5</v>
      </c>
      <c r="V37">
        <f t="shared" si="691"/>
        <v>-0.49750461558612996</v>
      </c>
      <c r="W37">
        <f t="shared" si="692"/>
        <v>0.352103663852607</v>
      </c>
      <c r="X37">
        <f t="shared" si="713"/>
        <v>-0.84960827943873696</v>
      </c>
      <c r="Y37">
        <f t="shared" si="714"/>
        <v>0.54530344679460696</v>
      </c>
      <c r="Z37">
        <f t="shared" si="715"/>
        <v>-1.91838334311988</v>
      </c>
      <c r="AA37">
        <f t="shared" si="716"/>
        <v>0.21916678424240299</v>
      </c>
      <c r="AC37">
        <f t="shared" si="700"/>
        <v>5</v>
      </c>
      <c r="AD37">
        <f t="shared" si="717"/>
        <v>6.1875941616300798</v>
      </c>
    </row>
    <row r="38">
      <c r="D38">
        <f t="shared" si="698"/>
        <v>6</v>
      </c>
      <c r="E38">
        <f t="shared" si="711"/>
        <v>-0.87212230633638899</v>
      </c>
      <c r="F38">
        <f t="shared" si="719"/>
        <v>9.1920079244106001e-02</v>
      </c>
      <c r="I38" t="s">
        <v>464</v>
      </c>
      <c r="J38" s="18">
        <f>SUMSQ(F36:F52)</f>
        <v>5.0550494344633297</v>
      </c>
      <c r="U38">
        <f t="shared" si="712"/>
        <v>6</v>
      </c>
      <c r="V38">
        <f t="shared" si="691"/>
        <v>-0.87212230633638899</v>
      </c>
      <c r="W38">
        <f t="shared" si="692"/>
        <v>9.1920079244106001e-02</v>
      </c>
      <c r="X38">
        <f t="shared" si="713"/>
        <v>-0.96404238558049504</v>
      </c>
      <c r="Y38">
        <f t="shared" si="714"/>
        <v>0.54530344679460696</v>
      </c>
      <c r="Z38">
        <f t="shared" si="715"/>
        <v>-2.03281744926164</v>
      </c>
      <c r="AA38">
        <f t="shared" si="716"/>
        <v>0.10473267810064499</v>
      </c>
      <c r="AC38">
        <f t="shared" si="700"/>
        <v>6</v>
      </c>
      <c r="AD38">
        <f t="shared" si="717"/>
        <v>5.8129764708798204</v>
      </c>
    </row>
    <row r="39">
      <c r="D39">
        <f t="shared" si="698"/>
        <v>7</v>
      </c>
      <c r="E39">
        <f t="shared" ref="E39:E52" si="720">B10-J$36</f>
        <v>0.43497391030263</v>
      </c>
      <c r="F39">
        <f t="shared" si="719"/>
        <v>0.43380128445471905</v>
      </c>
      <c r="L39" s="24" t="s">
        <v>469</v>
      </c>
      <c r="M39" s="24" t="s">
        <v>470</v>
      </c>
      <c r="N39" s="24" t="s">
        <v>484</v>
      </c>
      <c r="P39" t="s">
        <v>496</v>
      </c>
      <c r="Q39" s="16" t="s">
        <v>363</v>
      </c>
      <c r="U39">
        <f t="shared" si="712"/>
        <v>7</v>
      </c>
      <c r="V39">
        <f t="shared" si="691"/>
        <v>0.43497391030263</v>
      </c>
      <c r="W39">
        <f t="shared" si="692"/>
        <v>0.43380128445471905</v>
      </c>
      <c r="X39">
        <f t="shared" si="713"/>
        <v>1.1726258479109999e-03</v>
      </c>
      <c r="Y39">
        <f t="shared" si="714"/>
        <v>0.54530344679460696</v>
      </c>
      <c r="Z39">
        <f t="shared" si="715"/>
        <v>-1.0676024378332301</v>
      </c>
      <c r="AA39">
        <f t="shared" si="716"/>
        <v>1.0699476895290501</v>
      </c>
      <c r="AC39">
        <f t="shared" si="700"/>
        <v>7</v>
      </c>
      <c r="AD39">
        <f t="shared" ref="AD39:AD52" si="721">B10</f>
        <v>7.1200726875188396</v>
      </c>
    </row>
    <row r="40">
      <c r="D40">
        <f t="shared" si="698"/>
        <v>8</v>
      </c>
      <c r="E40">
        <f t="shared" si="720"/>
        <v>1.8168161560578999</v>
      </c>
      <c r="F40">
        <f t="shared" si="719"/>
        <v>1.15910167205004</v>
      </c>
      <c r="I40" t="s">
        <v>497</v>
      </c>
      <c r="J40" s="7">
        <v>3</v>
      </c>
      <c r="U40">
        <f t="shared" si="712"/>
        <v>8</v>
      </c>
      <c r="V40">
        <f t="shared" si="691"/>
        <v>1.8168161560578999</v>
      </c>
      <c r="W40">
        <f t="shared" si="692"/>
        <v>1.15910167205004</v>
      </c>
      <c r="X40">
        <f t="shared" si="713"/>
        <v>0.65771448400786003</v>
      </c>
      <c r="Y40">
        <f t="shared" si="714"/>
        <v>0.54530344679460696</v>
      </c>
      <c r="Z40">
        <f t="shared" si="715"/>
        <v>-0.41106057967328002</v>
      </c>
      <c r="AA40">
        <f t="shared" si="716"/>
        <v>1.7264895476890001</v>
      </c>
      <c r="AC40">
        <f t="shared" si="700"/>
        <v>8</v>
      </c>
      <c r="AD40">
        <f t="shared" si="721"/>
        <v>8.5019149332741097</v>
      </c>
    </row>
    <row r="41">
      <c r="D41">
        <f t="shared" si="698"/>
        <v>9</v>
      </c>
      <c r="E41">
        <f t="shared" si="720"/>
        <v>0.61612332796585001</v>
      </c>
      <c r="F41">
        <f t="shared" si="719"/>
        <v>0.24991668487532598</v>
      </c>
      <c r="I41" t="s">
        <v>498</v>
      </c>
      <c r="J41" s="10">
        <v>0</v>
      </c>
      <c r="L41" t="s">
        <v>499</v>
      </c>
      <c r="U41">
        <f t="shared" si="712"/>
        <v>9</v>
      </c>
      <c r="V41">
        <f t="shared" si="691"/>
        <v>0.61612332796585001</v>
      </c>
      <c r="W41">
        <f t="shared" si="692"/>
        <v>0.24991668487532598</v>
      </c>
      <c r="X41">
        <f t="shared" si="713"/>
        <v>0.36620664309052398</v>
      </c>
      <c r="Y41">
        <f t="shared" si="714"/>
        <v>0.54530344679460696</v>
      </c>
      <c r="Z41">
        <f t="shared" si="715"/>
        <v>-0.70256842059061597</v>
      </c>
      <c r="AA41">
        <f t="shared" si="716"/>
        <v>1.4349817067716599</v>
      </c>
      <c r="AC41">
        <f t="shared" si="700"/>
        <v>9</v>
      </c>
      <c r="AD41">
        <f t="shared" si="721"/>
        <v>7.3012221051820596</v>
      </c>
    </row>
    <row r="42">
      <c r="D42">
        <f t="shared" si="698"/>
        <v>10</v>
      </c>
      <c r="E42">
        <f t="shared" si="720"/>
        <v>-0.64622194783293996</v>
      </c>
      <c r="F42">
        <f t="shared" si="719"/>
        <v>0.30971291495953102</v>
      </c>
      <c r="I42" t="s">
        <v>181</v>
      </c>
      <c r="J42" s="10">
        <v>0</v>
      </c>
      <c r="U42">
        <f t="shared" si="712"/>
        <v>10</v>
      </c>
      <c r="V42">
        <f t="shared" si="691"/>
        <v>-0.64622194783293996</v>
      </c>
      <c r="W42">
        <f t="shared" si="692"/>
        <v>0.30971291495953102</v>
      </c>
      <c r="X42">
        <f t="shared" si="713"/>
        <v>-0.95593486279247097</v>
      </c>
      <c r="Y42">
        <f t="shared" si="714"/>
        <v>0.54530344679460696</v>
      </c>
      <c r="Z42">
        <f t="shared" si="715"/>
        <v>-2.0247099264736099</v>
      </c>
      <c r="AA42">
        <f t="shared" si="716"/>
        <v>0.112840200888669</v>
      </c>
      <c r="AC42">
        <f t="shared" si="700"/>
        <v>10</v>
      </c>
      <c r="AD42">
        <f t="shared" si="721"/>
        <v>6.0388768293832698</v>
      </c>
    </row>
    <row r="43">
      <c r="D43">
        <f t="shared" si="698"/>
        <v>11</v>
      </c>
      <c r="E43">
        <f t="shared" si="720"/>
        <v>-1.9390090880784201</v>
      </c>
      <c r="F43">
        <f t="shared" si="719"/>
        <v>-0.79010140376543003</v>
      </c>
      <c r="I43" t="s">
        <v>500</v>
      </c>
      <c r="J43" s="10">
        <f>AVERAGE(F36:F52)</f>
        <v>3.73118059497553e-06</v>
      </c>
      <c r="L43" s="24" t="s">
        <v>481</v>
      </c>
      <c r="M43" s="24" t="s">
        <v>501</v>
      </c>
      <c r="U43">
        <f t="shared" si="712"/>
        <v>11</v>
      </c>
      <c r="V43">
        <f t="shared" si="691"/>
        <v>-1.9390090880784201</v>
      </c>
      <c r="W43">
        <f t="shared" si="692"/>
        <v>-0.79010140376543003</v>
      </c>
      <c r="X43">
        <f t="shared" si="713"/>
        <v>-1.14890768431299</v>
      </c>
      <c r="Y43">
        <f t="shared" si="714"/>
        <v>0.54530344679460696</v>
      </c>
      <c r="Z43">
        <f t="shared" si="715"/>
        <v>-2.2176827479941301</v>
      </c>
      <c r="AA43">
        <f t="shared" si="716"/>
        <v>-8.0132620631849991e-02</v>
      </c>
      <c r="AC43">
        <f t="shared" si="700"/>
        <v>11</v>
      </c>
      <c r="AD43">
        <f t="shared" si="721"/>
        <v>4.7460896891377899</v>
      </c>
    </row>
    <row r="44">
      <c r="D44">
        <f t="shared" si="698"/>
        <v>12</v>
      </c>
      <c r="E44">
        <f t="shared" si="720"/>
        <v>-3.1422058857369997e-02</v>
      </c>
      <c r="F44">
        <f t="shared" si="719"/>
        <v>0.13716727833671899</v>
      </c>
      <c r="I44" t="s">
        <v>502</v>
      </c>
      <c r="J44" s="10">
        <f>STDEV(F36:F52)</f>
        <v>0.56208592727372797</v>
      </c>
      <c r="L44" s="42">
        <v>0</v>
      </c>
      <c r="M44" s="42" t="e">
        <v>#NAME?</v>
      </c>
      <c r="U44">
        <f t="shared" si="712"/>
        <v>12</v>
      </c>
      <c r="V44">
        <f t="shared" si="691"/>
        <v>-3.1422058857369997e-02</v>
      </c>
      <c r="W44">
        <f t="shared" si="692"/>
        <v>0.13716727833671899</v>
      </c>
      <c r="X44">
        <f t="shared" si="713"/>
        <v>-0.168589337194089</v>
      </c>
      <c r="Y44">
        <f t="shared" si="714"/>
        <v>0.54530344679460696</v>
      </c>
      <c r="Z44">
        <f t="shared" si="715"/>
        <v>-1.23736440087523</v>
      </c>
      <c r="AA44">
        <f t="shared" si="716"/>
        <v>0.90018572648705086</v>
      </c>
      <c r="AC44">
        <f t="shared" si="700"/>
        <v>12</v>
      </c>
      <c r="AD44">
        <f t="shared" si="721"/>
        <v>6.6536767183588399</v>
      </c>
    </row>
    <row r="45">
      <c r="D45">
        <f t="shared" si="698"/>
        <v>13</v>
      </c>
      <c r="E45">
        <f t="shared" si="720"/>
        <v>1.5088771422707501</v>
      </c>
      <c r="F45">
        <f t="shared" si="719"/>
        <v>0.34734585478336</v>
      </c>
      <c r="I45" t="s">
        <v>503</v>
      </c>
      <c r="J45" s="10">
        <f>SQRT(J38/J48)</f>
        <v>0.54530344679460696</v>
      </c>
      <c r="L45">
        <f t="shared" si="703"/>
        <v>1</v>
      </c>
      <c r="M45" t="e">
        <v>#NAME?</v>
      </c>
      <c r="U45">
        <f t="shared" si="712"/>
        <v>13</v>
      </c>
      <c r="V45">
        <f t="shared" si="691"/>
        <v>1.5088771422707501</v>
      </c>
      <c r="W45">
        <f t="shared" si="692"/>
        <v>0.34734585478336</v>
      </c>
      <c r="X45">
        <f t="shared" si="713"/>
        <v>1.16153128748739</v>
      </c>
      <c r="Y45">
        <f t="shared" si="714"/>
        <v>0.54530344679460696</v>
      </c>
      <c r="Z45">
        <f t="shared" si="715"/>
        <v>9.2756223806249982e-02</v>
      </c>
      <c r="AA45">
        <f t="shared" si="716"/>
        <v>2.2303063511685299</v>
      </c>
      <c r="AC45">
        <f t="shared" si="700"/>
        <v>13</v>
      </c>
      <c r="AD45">
        <f t="shared" si="721"/>
        <v>8.1939759194869595</v>
      </c>
    </row>
    <row r="46">
      <c r="D46">
        <f t="shared" si="698"/>
        <v>14</v>
      </c>
      <c r="E46">
        <f t="shared" si="720"/>
        <v>0.87516475625314105</v>
      </c>
      <c r="F46">
        <f t="shared" si="719"/>
        <v>-0.146742095000199</v>
      </c>
      <c r="I46" t="s">
        <v>504</v>
      </c>
      <c r="J46" s="10">
        <f>AVERAGE(E36:E52)</f>
        <v>9.0637500982300011e-04</v>
      </c>
      <c r="L46">
        <f t="shared" si="703"/>
        <v>2</v>
      </c>
      <c r="M46" t="e">
        <v>#NAME?</v>
      </c>
      <c r="U46">
        <f t="shared" si="712"/>
        <v>14</v>
      </c>
      <c r="V46">
        <f t="shared" si="691"/>
        <v>0.87516475625314105</v>
      </c>
      <c r="W46">
        <f t="shared" si="692"/>
        <v>-0.146742095000199</v>
      </c>
      <c r="X46">
        <f t="shared" si="713"/>
        <v>1.02190685125334</v>
      </c>
      <c r="Y46">
        <f t="shared" si="714"/>
        <v>0.54530344679460696</v>
      </c>
      <c r="Z46">
        <f t="shared" si="715"/>
        <v>-4.686821242780001e-02</v>
      </c>
      <c r="AA46">
        <f t="shared" si="716"/>
        <v>2.0906819149344802</v>
      </c>
      <c r="AC46">
        <f t="shared" si="700"/>
        <v>14</v>
      </c>
      <c r="AD46">
        <f t="shared" si="721"/>
        <v>7.5602635334693504</v>
      </c>
    </row>
    <row r="47">
      <c r="D47">
        <f t="shared" si="698"/>
        <v>15</v>
      </c>
      <c r="E47">
        <f t="shared" si="720"/>
        <v>0.10935251992000099</v>
      </c>
      <c r="F47">
        <f t="shared" si="719"/>
        <v>0.69360984652903901</v>
      </c>
      <c r="I47" t="s">
        <v>505</v>
      </c>
      <c r="J47" s="10">
        <f>STDEV(E36:E52)</f>
        <v>1.02886401671897</v>
      </c>
      <c r="L47">
        <f t="shared" si="703"/>
        <v>3</v>
      </c>
      <c r="M47" t="e">
        <v>#NAME?</v>
      </c>
      <c r="U47">
        <f t="shared" si="712"/>
        <v>15</v>
      </c>
      <c r="V47">
        <f t="shared" si="691"/>
        <v>0.10935251992000099</v>
      </c>
      <c r="W47">
        <f t="shared" si="692"/>
        <v>0.69360984652903901</v>
      </c>
      <c r="X47">
        <f t="shared" si="713"/>
        <v>-0.58425732660903795</v>
      </c>
      <c r="Y47">
        <f t="shared" si="714"/>
        <v>0.54530344679460696</v>
      </c>
      <c r="Z47">
        <f t="shared" si="715"/>
        <v>-1.65303239029018</v>
      </c>
      <c r="AA47">
        <f t="shared" si="716"/>
        <v>0.48451773707210199</v>
      </c>
      <c r="AC47">
        <f t="shared" si="700"/>
        <v>15</v>
      </c>
      <c r="AD47">
        <f t="shared" si="721"/>
        <v>6.7944512971362103</v>
      </c>
    </row>
    <row r="48">
      <c r="D48">
        <f t="shared" si="698"/>
        <v>16</v>
      </c>
      <c r="E48">
        <f t="shared" si="720"/>
        <v>-1.9606322420578199</v>
      </c>
      <c r="F48">
        <f t="shared" si="719"/>
        <v>-0.90432047440244001</v>
      </c>
      <c r="I48" t="s">
        <v>506</v>
      </c>
      <c r="J48" s="13">
        <f>COUNT(E36:E52)</f>
        <v>17</v>
      </c>
      <c r="L48" s="14">
        <f t="shared" si="703"/>
        <v>4</v>
      </c>
      <c r="M48" s="14" t="e">
        <v>#NAME?</v>
      </c>
      <c r="U48">
        <f t="shared" si="712"/>
        <v>16</v>
      </c>
      <c r="V48">
        <f t="shared" si="691"/>
        <v>-1.9606322420578199</v>
      </c>
      <c r="W48">
        <f t="shared" si="692"/>
        <v>-0.90432047440244001</v>
      </c>
      <c r="X48">
        <f t="shared" si="713"/>
        <v>-1.0563117676553799</v>
      </c>
      <c r="Y48">
        <f t="shared" si="714"/>
        <v>0.54530344679460696</v>
      </c>
      <c r="Z48">
        <f t="shared" si="715"/>
        <v>-2.1250868313365201</v>
      </c>
      <c r="AA48">
        <f t="shared" si="716"/>
        <v>1.246329602576e-02</v>
      </c>
      <c r="AC48">
        <f t="shared" si="700"/>
        <v>16</v>
      </c>
      <c r="AD48">
        <f t="shared" si="721"/>
        <v>4.7244665351583901</v>
      </c>
    </row>
    <row r="49">
      <c r="D49">
        <f t="shared" si="698"/>
        <v>17</v>
      </c>
      <c r="E49">
        <f t="shared" si="720"/>
        <v>-0.65794365067761995</v>
      </c>
      <c r="F49">
        <f t="shared" si="719"/>
        <v>-3.0260166052380001e-02</v>
      </c>
      <c r="U49">
        <f t="shared" si="712"/>
        <v>17</v>
      </c>
      <c r="V49">
        <f t="shared" si="691"/>
        <v>-0.65794365067761995</v>
      </c>
      <c r="W49">
        <f t="shared" si="692"/>
        <v>-3.0260166052380001e-02</v>
      </c>
      <c r="X49">
        <f t="shared" si="713"/>
        <v>-0.62768348462524004</v>
      </c>
      <c r="Y49">
        <f t="shared" si="714"/>
        <v>0.54530344679460696</v>
      </c>
      <c r="Z49">
        <f t="shared" si="715"/>
        <v>-1.6964585483063801</v>
      </c>
      <c r="AA49">
        <f t="shared" si="716"/>
        <v>0.44109157905590007</v>
      </c>
      <c r="AC49">
        <f t="shared" si="700"/>
        <v>17</v>
      </c>
      <c r="AD49">
        <f t="shared" si="721"/>
        <v>6.0271551265385899</v>
      </c>
    </row>
    <row r="50">
      <c r="D50">
        <f t="shared" si="698"/>
        <v>18</v>
      </c>
      <c r="E50">
        <f t="shared" si="720"/>
        <v>0.440811248645881</v>
      </c>
      <c r="F50">
        <f t="shared" si="719"/>
        <v>-0.33411685115707801</v>
      </c>
      <c r="I50" t="s">
        <v>507</v>
      </c>
      <c r="J50" s="7">
        <f>-(J53-2*(J40+J41+1))/2</f>
        <v>-13.812936509832101</v>
      </c>
      <c r="U50">
        <f t="shared" si="712"/>
        <v>18</v>
      </c>
      <c r="V50">
        <f t="shared" si="691"/>
        <v>0.440811248645881</v>
      </c>
      <c r="W50">
        <f t="shared" si="692"/>
        <v>-0.33411685115707801</v>
      </c>
      <c r="X50">
        <f t="shared" si="713"/>
        <v>0.77492809980295896</v>
      </c>
      <c r="Y50">
        <f t="shared" si="714"/>
        <v>0.54530344679460696</v>
      </c>
      <c r="Z50">
        <f t="shared" si="715"/>
        <v>-0.29384696387818099</v>
      </c>
      <c r="AA50">
        <f t="shared" si="716"/>
        <v>1.8437031634840999</v>
      </c>
      <c r="AC50">
        <f t="shared" si="700"/>
        <v>18</v>
      </c>
      <c r="AD50">
        <f t="shared" si="721"/>
        <v>7.1259100258620904</v>
      </c>
    </row>
    <row r="51">
      <c r="D51">
        <f t="shared" si="698"/>
        <v>19</v>
      </c>
      <c r="E51">
        <f t="shared" si="720"/>
        <v>0.50614905227595097</v>
      </c>
      <c r="F51">
        <f t="shared" si="719"/>
        <v>-0.70581872329835904</v>
      </c>
      <c r="I51" t="s">
        <v>374</v>
      </c>
      <c r="J51" s="10">
        <f>J48*LN(J38/J48)+2*(J40+J41+1)</f>
        <v>-12.618037109294701</v>
      </c>
      <c r="U51">
        <f t="shared" si="712"/>
        <v>19</v>
      </c>
      <c r="V51">
        <f t="shared" si="691"/>
        <v>0.50614905227595097</v>
      </c>
      <c r="W51">
        <f t="shared" si="692"/>
        <v>-0.70581872329835904</v>
      </c>
      <c r="X51">
        <f t="shared" si="713"/>
        <v>1.2119677755743099</v>
      </c>
      <c r="Y51">
        <f t="shared" si="714"/>
        <v>0.54530344679460696</v>
      </c>
      <c r="Z51">
        <f t="shared" si="715"/>
        <v>0.14319271189317001</v>
      </c>
      <c r="AA51">
        <f t="shared" si="716"/>
        <v>2.2807428392554501</v>
      </c>
      <c r="AC51">
        <f t="shared" si="700"/>
        <v>19</v>
      </c>
      <c r="AD51">
        <f t="shared" si="721"/>
        <v>7.19124782949216</v>
      </c>
    </row>
    <row r="52">
      <c r="D52" s="14">
        <f t="shared" si="698"/>
        <v>20</v>
      </c>
      <c r="E52" s="14">
        <f t="shared" si="720"/>
        <v>-2.4071388712189998e-03</v>
      </c>
      <c r="F52" s="14">
        <f t="shared" si="719"/>
        <v>-0.14434819301679799</v>
      </c>
      <c r="I52" t="s">
        <v>508</v>
      </c>
      <c r="J52" s="10">
        <f>J48*LN(J38/J48)+LN(J48)*(J40+J41+1)</f>
        <v>-9.2851837330698004</v>
      </c>
      <c r="U52">
        <f t="shared" si="712"/>
        <v>20</v>
      </c>
      <c r="V52">
        <f t="shared" si="691"/>
        <v>-2.4071388712189998e-03</v>
      </c>
      <c r="W52">
        <f t="shared" si="692"/>
        <v>-0.14434819301679799</v>
      </c>
      <c r="X52">
        <f t="shared" si="713"/>
        <v>0.141941054145579</v>
      </c>
      <c r="Y52">
        <f t="shared" si="714"/>
        <v>0.54530344679460696</v>
      </c>
      <c r="Z52">
        <f t="shared" si="715"/>
        <v>-0.92683400953556094</v>
      </c>
      <c r="AA52">
        <f t="shared" si="716"/>
        <v>1.2107161178267201</v>
      </c>
      <c r="AC52" s="14">
        <f t="shared" si="700"/>
        <v>20</v>
      </c>
      <c r="AD52" s="14">
        <f t="shared" si="721"/>
        <v>6.6826916383449904</v>
      </c>
    </row>
    <row r="53">
      <c r="I53" t="s">
        <v>509</v>
      </c>
      <c r="J53" s="10">
        <f>J48*(1+LN(2*PI()))+J51</f>
        <v>35.625873019664098</v>
      </c>
      <c r="U53">
        <f t="shared" ref="U53:U57" si="722">U52+1</f>
        <v>21</v>
      </c>
      <c r="X53">
        <f>SUMPRODUCT(V50:V52,I$33:I$35)</f>
        <v>-0.42522468621187598</v>
      </c>
      <c r="Y53" t="e">
        <f t="shared" ref="Y53:Y57" si="723">J$45*SQRT(SUMSQ(M$44:M44))</f>
        <v>#NAME?</v>
      </c>
      <c r="Z53" t="e">
        <f t="shared" si="715"/>
        <v>#NAME?</v>
      </c>
      <c r="AA53" t="e">
        <f t="shared" si="716"/>
        <v>#NAME?</v>
      </c>
      <c r="AC53">
        <f t="shared" si="700"/>
        <v>21</v>
      </c>
      <c r="AD53">
        <f t="shared" ref="AD53:AD57" si="724">X53+J$36</f>
        <v>6.2598740910043302</v>
      </c>
    </row>
    <row r="54">
      <c r="I54" t="s">
        <v>510</v>
      </c>
      <c r="J54" s="13">
        <f>J48*(1+LN(2*PI()))+J52</f>
        <v>38.958726395889002</v>
      </c>
      <c r="U54">
        <f t="shared" si="722"/>
        <v>22</v>
      </c>
      <c r="X54">
        <f>SUMPRODUCT(V51:V52,I33:I34)+SUMPRODUCT(X53,I35)</f>
        <v>-0.26497723364395698</v>
      </c>
      <c r="Y54" t="e">
        <f t="shared" si="723"/>
        <v>#NAME?</v>
      </c>
      <c r="Z54" t="e">
        <f t="shared" si="715"/>
        <v>#NAME?</v>
      </c>
      <c r="AA54" t="e">
        <f t="shared" si="716"/>
        <v>#NAME?</v>
      </c>
      <c r="AC54">
        <f t="shared" si="700"/>
        <v>22</v>
      </c>
      <c r="AD54">
        <f t="shared" si="724"/>
        <v>6.4201215435722503</v>
      </c>
    </row>
    <row r="55">
      <c r="U55">
        <f t="shared" si="722"/>
        <v>23</v>
      </c>
      <c r="X55">
        <f>SUMPRODUCT(V52,I33)+SUMPRODUCT(X53:X54,I34:I35)</f>
        <v>0.16789173371178501</v>
      </c>
      <c r="Y55" t="e">
        <f t="shared" si="723"/>
        <v>#NAME?</v>
      </c>
      <c r="Z55" t="e">
        <f t="shared" si="715"/>
        <v>#NAME?</v>
      </c>
      <c r="AA55" t="e">
        <f t="shared" si="716"/>
        <v>#NAME?</v>
      </c>
      <c r="AC55">
        <f t="shared" si="700"/>
        <v>23</v>
      </c>
      <c r="AD55">
        <f t="shared" si="724"/>
        <v>6.8529905109279996</v>
      </c>
    </row>
    <row r="56">
      <c r="U56">
        <f t="shared" si="722"/>
        <v>24</v>
      </c>
      <c r="X56">
        <f>SUMPRODUCT(X53:X55,I33:I35)</f>
        <v>0.32514477679611598</v>
      </c>
      <c r="Y56" t="e">
        <f t="shared" si="723"/>
        <v>#NAME?</v>
      </c>
      <c r="Z56" t="e">
        <f t="shared" si="715"/>
        <v>#NAME?</v>
      </c>
      <c r="AA56" t="e">
        <f t="shared" si="716"/>
        <v>#NAME?</v>
      </c>
      <c r="AC56">
        <f t="shared" si="700"/>
        <v>24</v>
      </c>
      <c r="AD56">
        <f t="shared" si="724"/>
        <v>7.0102435540123302</v>
      </c>
    </row>
    <row r="57">
      <c r="U57" s="14">
        <f t="shared" si="722"/>
        <v>25</v>
      </c>
      <c r="V57" s="14"/>
      <c r="W57" s="14"/>
      <c r="X57" s="14">
        <f>SUMPRODUCT(X54:X56,I33:I35)</f>
        <v>7.3222406689198993e-02</v>
      </c>
      <c r="Y57" s="14" t="e">
        <f t="shared" si="723"/>
        <v>#NAME?</v>
      </c>
      <c r="Z57" s="14" t="e">
        <f t="shared" si="715"/>
        <v>#NAME?</v>
      </c>
      <c r="AA57" s="14" t="e">
        <f t="shared" si="716"/>
        <v>#NAME?</v>
      </c>
      <c r="AC57" s="14">
        <f t="shared" si="700"/>
        <v>25</v>
      </c>
      <c r="AD57" s="14">
        <f t="shared" si="724"/>
        <v>6.7583211839054096</v>
      </c>
    </row>
    <row r="59">
      <c r="D59" t="s">
        <v>512</v>
      </c>
      <c r="H59" t="s">
        <v>475</v>
      </c>
      <c r="L59" t="s">
        <v>476</v>
      </c>
      <c r="P59" t="s">
        <v>477</v>
      </c>
      <c r="U59" t="s">
        <v>478</v>
      </c>
      <c r="AC59" t="s">
        <v>479</v>
      </c>
      <c r="AF59" t="s">
        <v>487</v>
      </c>
    </row>
    <row r="60">
      <c r="X60" t="s">
        <v>385</v>
      </c>
      <c r="Y60">
        <v>5.0000000000000003e-02</v>
      </c>
    </row>
    <row r="61">
      <c r="D61" s="24" t="s">
        <v>355</v>
      </c>
      <c r="E61" s="24" t="s">
        <v>173</v>
      </c>
      <c r="F61" s="24" t="s">
        <v>480</v>
      </c>
      <c r="H61" s="24" t="s">
        <v>481</v>
      </c>
      <c r="I61" s="24" t="s">
        <v>482</v>
      </c>
      <c r="J61" s="24" t="s">
        <v>483</v>
      </c>
      <c r="L61" s="24" t="s">
        <v>469</v>
      </c>
      <c r="M61" s="24" t="s">
        <v>470</v>
      </c>
      <c r="N61" s="24" t="s">
        <v>484</v>
      </c>
      <c r="P61" s="24" t="s">
        <v>485</v>
      </c>
      <c r="Q61" s="24" t="s">
        <v>486</v>
      </c>
      <c r="R61" s="24" t="s">
        <v>358</v>
      </c>
      <c r="S61" s="24" t="s">
        <v>189</v>
      </c>
      <c r="U61" s="24" t="s">
        <v>355</v>
      </c>
      <c r="V61" s="24" t="s">
        <v>173</v>
      </c>
      <c r="W61" s="24" t="s">
        <v>480</v>
      </c>
      <c r="X61" s="24" t="s">
        <v>208</v>
      </c>
      <c r="Y61" s="24" t="s">
        <v>183</v>
      </c>
      <c r="Z61" s="24" t="s">
        <v>215</v>
      </c>
      <c r="AA61" s="24" t="s">
        <v>216</v>
      </c>
      <c r="AC61" s="24" t="s">
        <v>355</v>
      </c>
      <c r="AD61" s="24" t="s">
        <v>193</v>
      </c>
      <c r="AF61" s="24" t="s">
        <v>490</v>
      </c>
      <c r="AG61" s="24" t="s">
        <v>491</v>
      </c>
      <c r="AH61" s="24" t="s">
        <v>492</v>
      </c>
      <c r="AI61" s="24" t="s">
        <v>207</v>
      </c>
    </row>
    <row r="62">
      <c r="D62">
        <v>1</v>
      </c>
      <c r="E62">
        <f t="shared" ref="E62:E67" si="725">B4</f>
        <v>4.5267574698597501</v>
      </c>
      <c r="F62">
        <v>0</v>
      </c>
      <c r="H62" s="15">
        <v>3</v>
      </c>
      <c r="I62">
        <v>0.52489081484369027</v>
      </c>
      <c r="J62">
        <v>0</v>
      </c>
      <c r="L62" t="e">
        <v>#NAME?</v>
      </c>
      <c r="M62" t="e">
        <v>#NAME?</v>
      </c>
      <c r="N62" t="e">
        <v>#NAME?</v>
      </c>
      <c r="P62" t="s">
        <v>488</v>
      </c>
      <c r="Q62">
        <f>I64</f>
        <v>1.19771381888479</v>
      </c>
      <c r="R62" t="e">
        <v>#NAME?</v>
      </c>
      <c r="S62" t="e">
        <f>CHIDIST(J77*(LN(R62)-LN(J67)),1)</f>
        <v>#NAME?</v>
      </c>
      <c r="U62">
        <f t="shared" ref="U62:U81" si="726">D62</f>
        <v>1</v>
      </c>
      <c r="V62">
        <f t="shared" si="691"/>
        <v>4.5267574698597501</v>
      </c>
      <c r="W62">
        <f t="shared" si="692"/>
        <v>0</v>
      </c>
      <c r="X62">
        <f t="shared" ref="X62:X81" si="727">V62-W62</f>
        <v>4.5267574698597501</v>
      </c>
      <c r="Y62">
        <f t="shared" ref="Y62:Y81" si="728">J$74</f>
        <v>1.07101063360645</v>
      </c>
      <c r="Z62">
        <f t="shared" ref="Z62:Z86" si="729">X62-NORMSINV(1-Y$60/2)*Y62</f>
        <v>2.4276153044021598</v>
      </c>
      <c r="AA62">
        <f t="shared" ref="AA62:AA86" si="730">X62+NORMSINV(1-Y$60/2)*Y62</f>
        <v>6.6258996353173396</v>
      </c>
      <c r="AC62">
        <v>1</v>
      </c>
      <c r="AD62">
        <f t="shared" ref="AD62:AD67" si="731">B4</f>
        <v>4.5267574698597501</v>
      </c>
      <c r="AF62" s="42" t="e">
        <v>#NAME?</v>
      </c>
      <c r="AG62" s="42" t="e">
        <v>#NAME?</v>
      </c>
      <c r="AH62" s="42" t="e">
        <v>#NAME?</v>
      </c>
      <c r="AI62" s="42" t="e">
        <v>#NAME?</v>
      </c>
    </row>
    <row r="63">
      <c r="D63">
        <f t="shared" si="698"/>
        <v>2</v>
      </c>
      <c r="E63">
        <f t="shared" si="725"/>
        <v>6.8933707775124997</v>
      </c>
      <c r="F63">
        <v>0</v>
      </c>
      <c r="H63" s="15">
        <f t="shared" si="718"/>
        <v>2</v>
      </c>
      <c r="I63">
        <v>-0.73434566360826548</v>
      </c>
      <c r="J63">
        <v>0</v>
      </c>
      <c r="L63" t="e">
        <v>#NAME?</v>
      </c>
      <c r="M63" t="e">
        <v>#NAME?</v>
      </c>
      <c r="N63" t="e">
        <v>#NAME?</v>
      </c>
      <c r="P63" t="s">
        <v>489</v>
      </c>
      <c r="Q63">
        <f>I63</f>
        <v>-0.73434566360826603</v>
      </c>
      <c r="R63" t="e">
        <v>#NAME?</v>
      </c>
      <c r="S63" t="e">
        <f>CHIDIST(J77*(LN(R63)-LN(J67)),1)</f>
        <v>#NAME?</v>
      </c>
      <c r="U63">
        <f t="shared" si="726"/>
        <v>2</v>
      </c>
      <c r="V63">
        <f t="shared" si="691"/>
        <v>6.8933707775124997</v>
      </c>
      <c r="W63">
        <f t="shared" si="692"/>
        <v>0</v>
      </c>
      <c r="X63">
        <f t="shared" si="727"/>
        <v>6.8933707775124997</v>
      </c>
      <c r="Y63">
        <f t="shared" si="728"/>
        <v>1.07101063360645</v>
      </c>
      <c r="Z63">
        <f t="shared" si="729"/>
        <v>4.7942286120549102</v>
      </c>
      <c r="AA63">
        <f t="shared" si="730"/>
        <v>8.9925129429700892</v>
      </c>
      <c r="AC63">
        <f t="shared" si="700"/>
        <v>2</v>
      </c>
      <c r="AD63">
        <f t="shared" si="731"/>
        <v>6.8933707775124997</v>
      </c>
      <c r="AF63" t="e">
        <v>#NAME?</v>
      </c>
      <c r="AG63" t="e">
        <v>#NAME?</v>
      </c>
      <c r="AH63" t="e">
        <v>#NAME?</v>
      </c>
      <c r="AI63" t="e">
        <v>#NAME?</v>
      </c>
    </row>
    <row r="64">
      <c r="D64">
        <f t="shared" si="698"/>
        <v>3</v>
      </c>
      <c r="E64">
        <f t="shared" si="725"/>
        <v>8.4253951175675894</v>
      </c>
      <c r="F64">
        <v>0</v>
      </c>
      <c r="H64" s="15">
        <f t="shared" si="718"/>
        <v>1</v>
      </c>
      <c r="I64">
        <v>1.1977138188847922</v>
      </c>
      <c r="J64">
        <v>0</v>
      </c>
      <c r="L64" s="14" t="e">
        <v>#NAME?</v>
      </c>
      <c r="M64" s="14" t="e">
        <v>#NAME?</v>
      </c>
      <c r="N64" s="14" t="e">
        <v>#NAME?</v>
      </c>
      <c r="P64" t="s">
        <v>493</v>
      </c>
      <c r="Q64">
        <f>I62</f>
        <v>0.52489081484369005</v>
      </c>
      <c r="R64" t="e">
        <v>#NAME?</v>
      </c>
      <c r="S64" t="e">
        <f>CHIDIST(J77*(LN(R64)-LN(J67)),1)</f>
        <v>#NAME?</v>
      </c>
      <c r="U64">
        <f t="shared" si="726"/>
        <v>3</v>
      </c>
      <c r="V64">
        <f t="shared" si="691"/>
        <v>8.4253951175675894</v>
      </c>
      <c r="W64">
        <f t="shared" si="692"/>
        <v>0</v>
      </c>
      <c r="X64">
        <f t="shared" si="727"/>
        <v>8.4253951175675894</v>
      </c>
      <c r="Y64">
        <f t="shared" si="728"/>
        <v>1.07101063360645</v>
      </c>
      <c r="Z64">
        <f t="shared" si="729"/>
        <v>6.3262529521099999</v>
      </c>
      <c r="AA64">
        <f t="shared" si="730"/>
        <v>10.5245372830252</v>
      </c>
      <c r="AC64">
        <f t="shared" si="700"/>
        <v>3</v>
      </c>
      <c r="AD64">
        <f t="shared" si="731"/>
        <v>8.4253951175675894</v>
      </c>
      <c r="AF64" t="e">
        <v>#NAME?</v>
      </c>
      <c r="AG64" t="e">
        <v>#NAME?</v>
      </c>
      <c r="AH64" t="e">
        <v>#NAME?</v>
      </c>
      <c r="AI64" t="e">
        <v>#NAME?</v>
      </c>
    </row>
    <row r="65">
      <c r="D65">
        <f t="shared" si="698"/>
        <v>4</v>
      </c>
      <c r="E65">
        <f t="shared" si="725"/>
        <v>6.9995020869890103</v>
      </c>
      <c r="F65">
        <f t="shared" ref="F65:F81" si="732">E65-SUMPRODUCT(E62:E64,I$62:I$64)</f>
        <v>-0.40564655373035902</v>
      </c>
      <c r="H65" s="17" t="s">
        <v>494</v>
      </c>
      <c r="I65" s="14">
        <v>0</v>
      </c>
      <c r="J65" s="14">
        <v>0</v>
      </c>
      <c r="P65" s="14" t="s">
        <v>283</v>
      </c>
      <c r="Q65" s="14">
        <f>J75</f>
        <v>6.6860051522260298</v>
      </c>
      <c r="R65" s="14">
        <f>-Q65/(J76/SQRT(J77))</f>
        <v>-26.793730763335301</v>
      </c>
      <c r="S65" s="14">
        <f>TDIST(ABS(R65),J77-1,2)</f>
        <v>1.0120327520916391e-14</v>
      </c>
      <c r="U65">
        <f t="shared" si="726"/>
        <v>4</v>
      </c>
      <c r="V65">
        <f t="shared" si="691"/>
        <v>6.9995020869890103</v>
      </c>
      <c r="W65">
        <f t="shared" si="692"/>
        <v>-0.40564655373035902</v>
      </c>
      <c r="X65">
        <f t="shared" si="727"/>
        <v>7.4051486407193696</v>
      </c>
      <c r="Y65">
        <f t="shared" si="728"/>
        <v>1.07101063360645</v>
      </c>
      <c r="Z65">
        <f t="shared" si="729"/>
        <v>5.3060064752617802</v>
      </c>
      <c r="AA65">
        <f t="shared" si="730"/>
        <v>9.5042908061769609</v>
      </c>
      <c r="AC65">
        <f t="shared" si="700"/>
        <v>4</v>
      </c>
      <c r="AD65">
        <f t="shared" si="731"/>
        <v>6.9995020869890103</v>
      </c>
      <c r="AF65" t="e">
        <v>#NAME?</v>
      </c>
      <c r="AG65" t="e">
        <v>#NAME?</v>
      </c>
      <c r="AH65" t="e">
        <v>#NAME?</v>
      </c>
      <c r="AI65" t="e">
        <v>#NAME?</v>
      </c>
    </row>
    <row r="66">
      <c r="D66">
        <f t="shared" si="698"/>
        <v>5</v>
      </c>
      <c r="E66">
        <f t="shared" si="725"/>
        <v>6.1875941616300798</v>
      </c>
      <c r="F66">
        <f t="shared" si="732"/>
        <v>0.37307915107418999</v>
      </c>
      <c r="L66" t="s">
        <v>495</v>
      </c>
      <c r="U66">
        <f t="shared" si="726"/>
        <v>5</v>
      </c>
      <c r="V66">
        <f t="shared" si="691"/>
        <v>6.1875941616300798</v>
      </c>
      <c r="W66">
        <f t="shared" si="692"/>
        <v>0.37307915107418999</v>
      </c>
      <c r="X66">
        <f t="shared" si="727"/>
        <v>5.8145150105558896</v>
      </c>
      <c r="Y66">
        <f t="shared" si="728"/>
        <v>1.07101063360645</v>
      </c>
      <c r="Z66">
        <f t="shared" si="729"/>
        <v>3.7153728450983001</v>
      </c>
      <c r="AA66">
        <f t="shared" si="730"/>
        <v>7.91365717601348</v>
      </c>
      <c r="AC66">
        <f t="shared" si="700"/>
        <v>5</v>
      </c>
      <c r="AD66">
        <f t="shared" si="731"/>
        <v>6.1875941616300798</v>
      </c>
      <c r="AF66" t="e">
        <v>#NAME?</v>
      </c>
      <c r="AG66" t="e">
        <v>#NAME?</v>
      </c>
      <c r="AH66" t="e">
        <v>#NAME?</v>
      </c>
      <c r="AI66" t="e">
        <v>#NAME?</v>
      </c>
    </row>
    <row r="67">
      <c r="D67">
        <f t="shared" si="698"/>
        <v>6</v>
      </c>
      <c r="E67">
        <f t="shared" si="725"/>
        <v>5.8129764708798204</v>
      </c>
      <c r="F67">
        <f t="shared" si="732"/>
        <v>-0.88034906579809902</v>
      </c>
      <c r="I67" t="s">
        <v>464</v>
      </c>
      <c r="J67" s="18">
        <f>SUMSQ(F65:F81)</f>
        <v>16.058892882173101</v>
      </c>
      <c r="P67" t="s">
        <v>496</v>
      </c>
      <c r="Q67" s="16" t="s">
        <v>363</v>
      </c>
      <c r="U67">
        <f t="shared" si="726"/>
        <v>6</v>
      </c>
      <c r="V67">
        <f t="shared" si="691"/>
        <v>5.8129764708798204</v>
      </c>
      <c r="W67">
        <f t="shared" si="692"/>
        <v>-0.88034906579809902</v>
      </c>
      <c r="X67">
        <f t="shared" si="727"/>
        <v>6.6933255366779196</v>
      </c>
      <c r="Y67">
        <f t="shared" si="728"/>
        <v>1.07101063360645</v>
      </c>
      <c r="Z67">
        <f t="shared" si="729"/>
        <v>4.5941833712203302</v>
      </c>
      <c r="AA67">
        <f t="shared" si="730"/>
        <v>8.7924677021355109</v>
      </c>
      <c r="AC67">
        <f t="shared" si="700"/>
        <v>6</v>
      </c>
      <c r="AD67">
        <f t="shared" si="731"/>
        <v>5.8129764708798204</v>
      </c>
      <c r="AF67" t="e">
        <v>#NAME?</v>
      </c>
      <c r="AG67" t="e">
        <v>#NAME?</v>
      </c>
      <c r="AH67" t="e">
        <v>#NAME?</v>
      </c>
      <c r="AI67" t="e">
        <v>#NAME?</v>
      </c>
    </row>
    <row r="68">
      <c r="D68">
        <f t="shared" si="698"/>
        <v>7</v>
      </c>
      <c r="E68">
        <f t="shared" ref="E68:E81" si="733">B10</f>
        <v>7.1200726875188396</v>
      </c>
      <c r="F68">
        <f t="shared" si="732"/>
        <v>1.02764902631503</v>
      </c>
      <c r="L68" s="24" t="s">
        <v>469</v>
      </c>
      <c r="M68" s="24" t="s">
        <v>470</v>
      </c>
      <c r="N68" s="24" t="s">
        <v>484</v>
      </c>
      <c r="U68">
        <f t="shared" si="726"/>
        <v>7</v>
      </c>
      <c r="V68">
        <f t="shared" si="691"/>
        <v>7.1200726875188396</v>
      </c>
      <c r="W68">
        <f t="shared" si="692"/>
        <v>1.02764902631503</v>
      </c>
      <c r="X68">
        <f t="shared" si="727"/>
        <v>6.0924236612038101</v>
      </c>
      <c r="Y68">
        <f t="shared" si="728"/>
        <v>1.07101063360645</v>
      </c>
      <c r="Z68">
        <f t="shared" si="729"/>
        <v>3.9932814957462202</v>
      </c>
      <c r="AA68">
        <f t="shared" si="730"/>
        <v>8.1915658266613995</v>
      </c>
      <c r="AC68">
        <f t="shared" si="700"/>
        <v>7</v>
      </c>
      <c r="AD68">
        <f t="shared" ref="AD68:AD81" si="734">B10</f>
        <v>7.1200726875188396</v>
      </c>
      <c r="AF68" t="e">
        <v>#NAME?</v>
      </c>
      <c r="AG68" t="e">
        <v>#NAME?</v>
      </c>
      <c r="AH68" t="e">
        <v>#NAME?</v>
      </c>
      <c r="AI68" t="e">
        <v>#NAME?</v>
      </c>
    </row>
    <row r="69">
      <c r="D69">
        <f t="shared" si="698"/>
        <v>8</v>
      </c>
      <c r="E69">
        <f t="shared" si="733"/>
        <v>8.5019149332741097</v>
      </c>
      <c r="F69">
        <f t="shared" si="732"/>
        <v>0.99502820659602009</v>
      </c>
      <c r="I69" t="s">
        <v>497</v>
      </c>
      <c r="J69" s="7">
        <v>3</v>
      </c>
      <c r="U69">
        <f t="shared" si="726"/>
        <v>8</v>
      </c>
      <c r="V69">
        <f t="shared" si="691"/>
        <v>8.5019149332741097</v>
      </c>
      <c r="W69">
        <f t="shared" si="692"/>
        <v>0.99502820659602009</v>
      </c>
      <c r="X69">
        <f t="shared" si="727"/>
        <v>7.5068867266780899</v>
      </c>
      <c r="Y69">
        <f t="shared" si="728"/>
        <v>1.07101063360645</v>
      </c>
      <c r="Z69">
        <f t="shared" si="729"/>
        <v>5.4077445612205004</v>
      </c>
      <c r="AA69">
        <f t="shared" si="730"/>
        <v>9.6060288921356793</v>
      </c>
      <c r="AC69">
        <f t="shared" si="700"/>
        <v>8</v>
      </c>
      <c r="AD69">
        <f t="shared" si="734"/>
        <v>8.5019149332741097</v>
      </c>
      <c r="AF69" t="e">
        <v>#NAME?</v>
      </c>
      <c r="AG69" t="e">
        <v>#NAME?</v>
      </c>
      <c r="AH69" t="e">
        <v>#NAME?</v>
      </c>
      <c r="AI69" t="e">
        <v>#NAME?</v>
      </c>
    </row>
    <row r="70">
      <c r="D70">
        <f t="shared" si="698"/>
        <v>9</v>
      </c>
      <c r="E70">
        <f t="shared" si="733"/>
        <v>7.3012221051820596</v>
      </c>
      <c r="F70">
        <f t="shared" si="732"/>
        <v>-0.70422235119552001</v>
      </c>
      <c r="I70" t="s">
        <v>498</v>
      </c>
      <c r="J70" s="10">
        <v>0</v>
      </c>
      <c r="L70" t="s">
        <v>499</v>
      </c>
      <c r="U70">
        <f t="shared" si="726"/>
        <v>9</v>
      </c>
      <c r="V70">
        <f t="shared" si="691"/>
        <v>7.3012221051820596</v>
      </c>
      <c r="W70">
        <f t="shared" si="692"/>
        <v>-0.70422235119552001</v>
      </c>
      <c r="X70">
        <f t="shared" si="727"/>
        <v>8.00544445637758</v>
      </c>
      <c r="Y70">
        <f t="shared" si="728"/>
        <v>1.07101063360645</v>
      </c>
      <c r="Z70">
        <f t="shared" si="729"/>
        <v>5.9063022909199896</v>
      </c>
      <c r="AA70">
        <f t="shared" si="730"/>
        <v>10.1045866218352</v>
      </c>
      <c r="AC70">
        <f t="shared" si="700"/>
        <v>9</v>
      </c>
      <c r="AD70">
        <f t="shared" si="734"/>
        <v>7.3012221051820596</v>
      </c>
      <c r="AF70" t="e">
        <v>#NAME?</v>
      </c>
      <c r="AG70" t="e">
        <v>#NAME?</v>
      </c>
      <c r="AH70" t="e">
        <v>#NAME?</v>
      </c>
      <c r="AI70" t="e">
        <v>#NAME?</v>
      </c>
    </row>
    <row r="71">
      <c r="D71">
        <f t="shared" si="698"/>
        <v>10</v>
      </c>
      <c r="E71">
        <f t="shared" si="733"/>
        <v>6.0388768293832698</v>
      </c>
      <c r="F71">
        <f t="shared" si="732"/>
        <v>-0.19981417182226999</v>
      </c>
      <c r="I71" t="s">
        <v>181</v>
      </c>
      <c r="J71" s="10">
        <v>0</v>
      </c>
      <c r="U71">
        <f t="shared" si="726"/>
        <v>10</v>
      </c>
      <c r="V71">
        <f t="shared" si="691"/>
        <v>6.0388768293832698</v>
      </c>
      <c r="W71">
        <f t="shared" si="692"/>
        <v>-0.19981417182226999</v>
      </c>
      <c r="X71">
        <f t="shared" si="727"/>
        <v>6.2386910012055399</v>
      </c>
      <c r="Y71">
        <f t="shared" si="728"/>
        <v>1.07101063360645</v>
      </c>
      <c r="Z71">
        <f t="shared" si="729"/>
        <v>4.1395488357479504</v>
      </c>
      <c r="AA71">
        <f t="shared" si="730"/>
        <v>8.3378331666631293</v>
      </c>
      <c r="AC71">
        <f t="shared" si="700"/>
        <v>10</v>
      </c>
      <c r="AD71">
        <f t="shared" si="734"/>
        <v>6.0388768293832698</v>
      </c>
      <c r="AF71" t="e">
        <v>#NAME?</v>
      </c>
      <c r="AG71" t="e">
        <v>#NAME?</v>
      </c>
      <c r="AH71" t="e">
        <v>#NAME?</v>
      </c>
      <c r="AI71" t="e">
        <v>#NAME?</v>
      </c>
    </row>
    <row r="72">
      <c r="D72">
        <f t="shared" si="698"/>
        <v>11</v>
      </c>
      <c r="E72">
        <f t="shared" si="733"/>
        <v>4.7460896891377899</v>
      </c>
      <c r="F72">
        <f t="shared" si="732"/>
        <v>-1.58771280503446</v>
      </c>
      <c r="I72" t="s">
        <v>500</v>
      </c>
      <c r="J72" s="10">
        <f>AVERAGE(F65:F81)</f>
        <v>5.3773360653894001e-02</v>
      </c>
      <c r="L72" s="24" t="s">
        <v>481</v>
      </c>
      <c r="M72" s="24" t="s">
        <v>501</v>
      </c>
      <c r="U72">
        <f t="shared" si="726"/>
        <v>11</v>
      </c>
      <c r="V72">
        <f t="shared" si="691"/>
        <v>4.7460896891377899</v>
      </c>
      <c r="W72">
        <f t="shared" si="692"/>
        <v>-1.58771280503446</v>
      </c>
      <c r="X72">
        <f t="shared" si="727"/>
        <v>6.3338024941722502</v>
      </c>
      <c r="Y72">
        <f t="shared" si="728"/>
        <v>1.07101063360645</v>
      </c>
      <c r="Z72">
        <f t="shared" si="729"/>
        <v>4.2346603287146598</v>
      </c>
      <c r="AA72">
        <f t="shared" si="730"/>
        <v>8.4329446596298396</v>
      </c>
      <c r="AC72">
        <f t="shared" si="700"/>
        <v>11</v>
      </c>
      <c r="AD72">
        <f t="shared" si="734"/>
        <v>4.7460896891377899</v>
      </c>
      <c r="AF72" t="e">
        <v>#NAME?</v>
      </c>
      <c r="AG72" t="e">
        <v>#NAME?</v>
      </c>
      <c r="AH72" t="e">
        <v>#NAME?</v>
      </c>
      <c r="AI72" t="e">
        <v>#NAME?</v>
      </c>
    </row>
    <row r="73">
      <c r="D73">
        <f t="shared" si="698"/>
        <v>12</v>
      </c>
      <c r="E73">
        <f t="shared" si="733"/>
        <v>6.6536767183588399</v>
      </c>
      <c r="F73">
        <f t="shared" si="732"/>
        <v>1.5714981045901399</v>
      </c>
      <c r="I73" t="s">
        <v>502</v>
      </c>
      <c r="J73" s="10">
        <f>STDEV(F65:F81)</f>
        <v>1.0003042074414401</v>
      </c>
      <c r="L73" s="42">
        <v>0</v>
      </c>
      <c r="M73" s="42" t="e">
        <v>#NAME?</v>
      </c>
      <c r="U73">
        <f t="shared" si="726"/>
        <v>12</v>
      </c>
      <c r="V73">
        <f t="shared" si="691"/>
        <v>6.6536767183588399</v>
      </c>
      <c r="W73">
        <f t="shared" si="692"/>
        <v>1.5714981045901399</v>
      </c>
      <c r="X73">
        <f t="shared" si="727"/>
        <v>5.0821786137686997</v>
      </c>
      <c r="Y73">
        <f t="shared" si="728"/>
        <v>1.07101063360645</v>
      </c>
      <c r="Z73">
        <f t="shared" si="729"/>
        <v>2.9830364483111098</v>
      </c>
      <c r="AA73">
        <f t="shared" si="730"/>
        <v>7.1813207792262901</v>
      </c>
      <c r="AC73">
        <f t="shared" si="700"/>
        <v>12</v>
      </c>
      <c r="AD73">
        <f t="shared" si="734"/>
        <v>6.6536767183588399</v>
      </c>
      <c r="AF73" t="e">
        <v>#NAME?</v>
      </c>
      <c r="AG73" t="e">
        <v>#NAME?</v>
      </c>
      <c r="AH73" t="e">
        <v>#NAME?</v>
      </c>
      <c r="AI73" t="e">
        <v>#NAME?</v>
      </c>
    </row>
    <row r="74">
      <c r="D74">
        <f t="shared" si="698"/>
        <v>13</v>
      </c>
      <c r="E74">
        <f t="shared" si="733"/>
        <v>8.1939759194869595</v>
      </c>
      <c r="F74">
        <f t="shared" si="732"/>
        <v>0.54029477011512905</v>
      </c>
      <c r="I74" t="s">
        <v>503</v>
      </c>
      <c r="J74" s="10">
        <f>SQRT(J67/(J77-J69))</f>
        <v>1.07101063360645</v>
      </c>
      <c r="L74">
        <f t="shared" si="703"/>
        <v>1</v>
      </c>
      <c r="M74" t="e">
        <v>#NAME?</v>
      </c>
      <c r="U74">
        <f t="shared" si="726"/>
        <v>13</v>
      </c>
      <c r="V74">
        <f t="shared" ref="V74:V99" si="735">E74</f>
        <v>8.1939759194869595</v>
      </c>
      <c r="W74">
        <f t="shared" ref="W74:W99" si="736">F74</f>
        <v>0.54029477011512905</v>
      </c>
      <c r="X74">
        <f t="shared" si="727"/>
        <v>7.6536811493718302</v>
      </c>
      <c r="Y74">
        <f t="shared" si="728"/>
        <v>1.07101063360645</v>
      </c>
      <c r="Z74">
        <f t="shared" si="729"/>
        <v>5.5545389839142398</v>
      </c>
      <c r="AA74">
        <f t="shared" si="730"/>
        <v>9.7528233148294206</v>
      </c>
      <c r="AC74">
        <f t="shared" si="700"/>
        <v>13</v>
      </c>
      <c r="AD74">
        <f t="shared" si="734"/>
        <v>8.1939759194869595</v>
      </c>
      <c r="AF74" t="e">
        <v>#NAME?</v>
      </c>
      <c r="AG74" t="e">
        <v>#NAME?</v>
      </c>
      <c r="AH74" t="e">
        <v>#NAME?</v>
      </c>
      <c r="AI74" t="e">
        <v>#NAME?</v>
      </c>
    </row>
    <row r="75">
      <c r="D75">
        <f t="shared" ref="D75:D100" si="737">D74+1</f>
        <v>14</v>
      </c>
      <c r="E75">
        <f t="shared" si="733"/>
        <v>7.5602635334693504</v>
      </c>
      <c r="F75">
        <f t="shared" si="732"/>
        <v>0.14114510401590999</v>
      </c>
      <c r="I75" t="s">
        <v>504</v>
      </c>
      <c r="J75" s="10">
        <f>AVERAGE(E65:E81)</f>
        <v>6.6860051522260298</v>
      </c>
      <c r="L75">
        <f t="shared" si="703"/>
        <v>2</v>
      </c>
      <c r="M75" t="e">
        <v>#NAME?</v>
      </c>
      <c r="U75">
        <f t="shared" si="726"/>
        <v>14</v>
      </c>
      <c r="V75">
        <f t="shared" si="735"/>
        <v>7.5602635334693504</v>
      </c>
      <c r="W75">
        <f t="shared" si="736"/>
        <v>0.14114510401590999</v>
      </c>
      <c r="X75">
        <f t="shared" si="727"/>
        <v>7.41911842945344</v>
      </c>
      <c r="Y75">
        <f t="shared" si="728"/>
        <v>1.07101063360645</v>
      </c>
      <c r="Z75">
        <f t="shared" si="729"/>
        <v>5.3199762639958497</v>
      </c>
      <c r="AA75">
        <f t="shared" si="730"/>
        <v>9.5182605949110304</v>
      </c>
      <c r="AC75">
        <f t="shared" ref="AC75:AC100" si="738">AC74+1</f>
        <v>14</v>
      </c>
      <c r="AD75">
        <f t="shared" si="734"/>
        <v>7.5602635334693504</v>
      </c>
      <c r="AF75" t="e">
        <v>#NAME?</v>
      </c>
      <c r="AG75" t="e">
        <v>#NAME?</v>
      </c>
      <c r="AH75" t="e">
        <v>#NAME?</v>
      </c>
      <c r="AI75" t="e">
        <v>#NAME?</v>
      </c>
    </row>
    <row r="76">
      <c r="D76">
        <f t="shared" si="737"/>
        <v>15</v>
      </c>
      <c r="E76">
        <f t="shared" si="733"/>
        <v>6.7944512971362103</v>
      </c>
      <c r="F76">
        <f t="shared" si="732"/>
        <v>0.26417607846914098</v>
      </c>
      <c r="I76" t="s">
        <v>505</v>
      </c>
      <c r="J76" s="10">
        <f>STDEV(E65:E81)</f>
        <v>1.02886401671897</v>
      </c>
      <c r="L76">
        <f t="shared" si="703"/>
        <v>3</v>
      </c>
      <c r="M76" t="e">
        <v>#NAME?</v>
      </c>
      <c r="U76">
        <f t="shared" si="726"/>
        <v>15</v>
      </c>
      <c r="V76">
        <f t="shared" si="735"/>
        <v>6.7944512971362103</v>
      </c>
      <c r="W76">
        <f t="shared" si="736"/>
        <v>0.26417607846914098</v>
      </c>
      <c r="X76">
        <f t="shared" si="727"/>
        <v>6.5302752186670698</v>
      </c>
      <c r="Y76">
        <f t="shared" si="728"/>
        <v>1.07101063360645</v>
      </c>
      <c r="Z76">
        <f t="shared" si="729"/>
        <v>4.4311330532094804</v>
      </c>
      <c r="AA76">
        <f t="shared" si="730"/>
        <v>8.6294173841246593</v>
      </c>
      <c r="AC76">
        <f t="shared" si="738"/>
        <v>15</v>
      </c>
      <c r="AD76">
        <f t="shared" si="734"/>
        <v>6.7944512971362103</v>
      </c>
      <c r="AF76" t="e">
        <v>#NAME?</v>
      </c>
      <c r="AG76" t="e">
        <v>#NAME?</v>
      </c>
      <c r="AH76" t="e">
        <v>#NAME?</v>
      </c>
      <c r="AI76" t="e">
        <v>#NAME?</v>
      </c>
    </row>
    <row r="77">
      <c r="D77">
        <f t="shared" si="737"/>
        <v>16</v>
      </c>
      <c r="E77">
        <f t="shared" si="733"/>
        <v>4.7244665351583901</v>
      </c>
      <c r="F77">
        <f t="shared" si="732"/>
        <v>-2.1624376308115201</v>
      </c>
      <c r="I77" t="s">
        <v>506</v>
      </c>
      <c r="J77" s="13">
        <f>COUNT(E65:E81)</f>
        <v>17</v>
      </c>
      <c r="L77" s="14">
        <f t="shared" si="703"/>
        <v>4</v>
      </c>
      <c r="M77" s="14" t="e">
        <v>#NAME?</v>
      </c>
      <c r="U77">
        <f t="shared" si="726"/>
        <v>16</v>
      </c>
      <c r="V77">
        <f t="shared" si="735"/>
        <v>4.7244665351583901</v>
      </c>
      <c r="W77">
        <f t="shared" si="736"/>
        <v>-2.1624376308115201</v>
      </c>
      <c r="X77">
        <f t="shared" si="727"/>
        <v>6.8869041659699102</v>
      </c>
      <c r="Y77">
        <f t="shared" si="728"/>
        <v>1.07101063360645</v>
      </c>
      <c r="Z77">
        <f t="shared" si="729"/>
        <v>4.7877620005123198</v>
      </c>
      <c r="AA77">
        <f t="shared" si="730"/>
        <v>8.9860463314275005</v>
      </c>
      <c r="AC77">
        <f t="shared" si="738"/>
        <v>16</v>
      </c>
      <c r="AD77">
        <f t="shared" si="734"/>
        <v>4.7244665351583901</v>
      </c>
      <c r="AF77" t="e">
        <v>#NAME?</v>
      </c>
      <c r="AG77" t="e">
        <v>#NAME?</v>
      </c>
      <c r="AH77" t="e">
        <v>#NAME?</v>
      </c>
      <c r="AI77" t="e">
        <v>#NAME?</v>
      </c>
    </row>
    <row r="78">
      <c r="D78">
        <f t="shared" si="737"/>
        <v>17</v>
      </c>
      <c r="E78">
        <f t="shared" si="733"/>
        <v>6.0271551265385899</v>
      </c>
      <c r="F78">
        <f t="shared" si="732"/>
        <v>1.3897592306544</v>
      </c>
      <c r="U78">
        <f t="shared" si="726"/>
        <v>17</v>
      </c>
      <c r="V78">
        <f t="shared" si="735"/>
        <v>6.0271551265385899</v>
      </c>
      <c r="W78">
        <f t="shared" si="736"/>
        <v>1.3897592306544</v>
      </c>
      <c r="X78">
        <f t="shared" si="727"/>
        <v>4.6373958958841897</v>
      </c>
      <c r="Y78">
        <f t="shared" si="728"/>
        <v>1.07101063360645</v>
      </c>
      <c r="Z78">
        <f t="shared" si="729"/>
        <v>2.5382537304266002</v>
      </c>
      <c r="AA78">
        <f t="shared" si="730"/>
        <v>6.73653806134178</v>
      </c>
      <c r="AC78">
        <f t="shared" si="738"/>
        <v>17</v>
      </c>
      <c r="AD78">
        <f t="shared" si="734"/>
        <v>6.0271551265385899</v>
      </c>
      <c r="AF78" s="14" t="e">
        <v>#NAME?</v>
      </c>
      <c r="AG78" s="14" t="e">
        <v>#NAME?</v>
      </c>
      <c r="AH78" s="14" t="e">
        <v>#NAME?</v>
      </c>
      <c r="AI78" s="14" t="e">
        <v>#NAME?</v>
      </c>
    </row>
    <row r="79">
      <c r="D79">
        <f t="shared" si="737"/>
        <v>18</v>
      </c>
      <c r="E79">
        <f t="shared" si="733"/>
        <v>7.1259100258620904</v>
      </c>
      <c r="F79">
        <f t="shared" si="732"/>
        <v>-0.18985052256915899</v>
      </c>
      <c r="I79" t="s">
        <v>507</v>
      </c>
      <c r="J79" s="7">
        <f>-(J82-2*(J69+J70))/2</f>
        <v>-23.637875183212699</v>
      </c>
      <c r="U79">
        <f t="shared" si="726"/>
        <v>18</v>
      </c>
      <c r="V79">
        <f t="shared" si="735"/>
        <v>7.1259100258620904</v>
      </c>
      <c r="W79">
        <f t="shared" si="736"/>
        <v>-0.18985052256915899</v>
      </c>
      <c r="X79">
        <f t="shared" si="727"/>
        <v>7.3157605484312498</v>
      </c>
      <c r="Y79">
        <f t="shared" si="728"/>
        <v>1.07101063360645</v>
      </c>
      <c r="Z79">
        <f t="shared" si="729"/>
        <v>5.2166183829736603</v>
      </c>
      <c r="AA79">
        <f t="shared" si="730"/>
        <v>9.4149027138888393</v>
      </c>
      <c r="AC79">
        <f t="shared" si="738"/>
        <v>18</v>
      </c>
      <c r="AD79">
        <f t="shared" si="734"/>
        <v>7.1259100258620904</v>
      </c>
    </row>
    <row r="80">
      <c r="D80">
        <f t="shared" si="737"/>
        <v>19</v>
      </c>
      <c r="E80">
        <f t="shared" si="733"/>
        <v>7.19124782949216</v>
      </c>
      <c r="F80">
        <f t="shared" si="732"/>
        <v>0.60263306111435</v>
      </c>
      <c r="I80" t="s">
        <v>374</v>
      </c>
      <c r="J80" s="10">
        <f>J77*LN(J67/J77)+2*(J69+J70)</f>
        <v>5.0318402374664704</v>
      </c>
      <c r="U80">
        <f t="shared" si="726"/>
        <v>19</v>
      </c>
      <c r="V80">
        <f t="shared" si="735"/>
        <v>7.19124782949216</v>
      </c>
      <c r="W80">
        <f t="shared" si="736"/>
        <v>0.60263306111435</v>
      </c>
      <c r="X80">
        <f t="shared" si="727"/>
        <v>6.58861476837781</v>
      </c>
      <c r="Y80">
        <f t="shared" si="728"/>
        <v>1.07101063360645</v>
      </c>
      <c r="Z80">
        <f t="shared" si="729"/>
        <v>4.4894726029202197</v>
      </c>
      <c r="AA80">
        <f t="shared" si="730"/>
        <v>8.6877569338354004</v>
      </c>
      <c r="AC80">
        <f t="shared" si="738"/>
        <v>19</v>
      </c>
      <c r="AD80">
        <f t="shared" si="734"/>
        <v>7.19124782949216</v>
      </c>
    </row>
    <row r="81">
      <c r="D81" s="14">
        <f t="shared" si="737"/>
        <v>20</v>
      </c>
      <c r="E81" s="14">
        <f t="shared" si="733"/>
        <v>6.6826916383449904</v>
      </c>
      <c r="F81" s="14">
        <f t="shared" si="732"/>
        <v>0.138917499133281</v>
      </c>
      <c r="I81" t="s">
        <v>508</v>
      </c>
      <c r="J81" s="10">
        <f>J77*LN(J67/J77)+LN(J77)*(J69+J70)</f>
        <v>7.5314802696351304</v>
      </c>
      <c r="U81">
        <f t="shared" si="726"/>
        <v>20</v>
      </c>
      <c r="V81">
        <f t="shared" si="735"/>
        <v>6.6826916383449904</v>
      </c>
      <c r="W81">
        <f t="shared" si="736"/>
        <v>0.138917499133281</v>
      </c>
      <c r="X81">
        <f t="shared" si="727"/>
        <v>6.5437741392117097</v>
      </c>
      <c r="Y81">
        <f t="shared" si="728"/>
        <v>1.07101063360645</v>
      </c>
      <c r="Z81">
        <f t="shared" si="729"/>
        <v>4.4446319737541202</v>
      </c>
      <c r="AA81">
        <f t="shared" si="730"/>
        <v>8.6429163046692992</v>
      </c>
      <c r="AC81" s="14">
        <f t="shared" si="738"/>
        <v>20</v>
      </c>
      <c r="AD81" s="14">
        <f t="shared" si="734"/>
        <v>6.6826916383449904</v>
      </c>
    </row>
    <row r="82">
      <c r="I82" t="s">
        <v>509</v>
      </c>
      <c r="J82" s="10">
        <f>J77*(1+LN(2*PI()))+J80</f>
        <v>53.275750366425299</v>
      </c>
      <c r="U82">
        <f t="shared" ref="U82:U86" si="739">U81+1</f>
        <v>21</v>
      </c>
      <c r="X82">
        <f>SUMPRODUCT(V79:V81,I$62:I$64)</f>
        <v>6.4634151830492996</v>
      </c>
      <c r="Y82" t="e">
        <f t="shared" ref="Y82:Y86" si="740">J$74*SQRT(SUMSQ(M$73:M73))</f>
        <v>#NAME?</v>
      </c>
      <c r="Z82" t="e">
        <f t="shared" si="729"/>
        <v>#NAME?</v>
      </c>
      <c r="AA82" t="e">
        <f t="shared" si="730"/>
        <v>#NAME?</v>
      </c>
      <c r="AC82">
        <f t="shared" si="738"/>
        <v>21</v>
      </c>
      <c r="AD82">
        <f t="shared" ref="AD82:AD86" si="741">X82</f>
        <v>6.4634151830492996</v>
      </c>
    </row>
    <row r="83">
      <c r="I83" t="s">
        <v>510</v>
      </c>
      <c r="J83" s="13">
        <f>J77*(1+LN(2*PI()))+J81</f>
        <v>55.775390398593899</v>
      </c>
      <c r="U83">
        <f t="shared" si="739"/>
        <v>22</v>
      </c>
      <c r="X83">
        <f>SUMPRODUCT(V80:V81,I62:I63)+SUMPRODUCT(X82,I64)</f>
        <v>6.6085359890431299</v>
      </c>
      <c r="Y83" t="e">
        <f t="shared" si="740"/>
        <v>#NAME?</v>
      </c>
      <c r="Z83" t="e">
        <f t="shared" si="729"/>
        <v>#NAME?</v>
      </c>
      <c r="AA83" t="e">
        <f t="shared" si="730"/>
        <v>#NAME?</v>
      </c>
      <c r="AC83">
        <f t="shared" si="738"/>
        <v>22</v>
      </c>
      <c r="AD83">
        <f t="shared" si="741"/>
        <v>6.6085359890431299</v>
      </c>
    </row>
    <row r="84">
      <c r="U84">
        <f t="shared" si="739"/>
        <v>23</v>
      </c>
      <c r="X84">
        <f>SUMPRODUCT(V81,I62)+SUMPRODUCT(X82:X83,I63:I64)</f>
        <v>6.6764374243023799</v>
      </c>
      <c r="Y84" t="e">
        <f t="shared" si="740"/>
        <v>#NAME?</v>
      </c>
      <c r="Z84" t="e">
        <f t="shared" si="729"/>
        <v>#NAME?</v>
      </c>
      <c r="AA84" t="e">
        <f t="shared" si="730"/>
        <v>#NAME?</v>
      </c>
      <c r="AC84">
        <f t="shared" si="738"/>
        <v>23</v>
      </c>
      <c r="AD84">
        <f t="shared" si="741"/>
        <v>6.6764374243023799</v>
      </c>
    </row>
    <row r="85">
      <c r="U85">
        <f t="shared" si="739"/>
        <v>24</v>
      </c>
      <c r="X85">
        <f>SUMPRODUCT(X82:X84,I62:I64)</f>
        <v>6.5360988797573896</v>
      </c>
      <c r="Y85" t="e">
        <f t="shared" si="740"/>
        <v>#NAME?</v>
      </c>
      <c r="Z85" t="e">
        <f t="shared" si="729"/>
        <v>#NAME?</v>
      </c>
      <c r="AA85" t="e">
        <f t="shared" si="730"/>
        <v>#NAME?</v>
      </c>
      <c r="AC85">
        <f t="shared" si="738"/>
        <v>24</v>
      </c>
      <c r="AD85">
        <f t="shared" si="741"/>
        <v>6.5360988797573896</v>
      </c>
    </row>
    <row r="86">
      <c r="U86" s="14">
        <f t="shared" si="739"/>
        <v>25</v>
      </c>
      <c r="V86" s="14"/>
      <c r="W86" s="14"/>
      <c r="X86" s="14">
        <f>SUMPRODUCT(X83:X85,I62:I64)</f>
        <v>6.3943229192071502</v>
      </c>
      <c r="Y86" s="14" t="e">
        <f t="shared" si="740"/>
        <v>#NAME?</v>
      </c>
      <c r="Z86" s="14" t="e">
        <f t="shared" si="729"/>
        <v>#NAME?</v>
      </c>
      <c r="AA86" s="14" t="e">
        <f t="shared" si="730"/>
        <v>#NAME?</v>
      </c>
      <c r="AC86" s="14">
        <f t="shared" si="738"/>
        <v>25</v>
      </c>
      <c r="AD86" s="14">
        <f t="shared" si="741"/>
        <v>6.3943229192071502</v>
      </c>
    </row>
    <row r="88">
      <c r="D88" t="s">
        <v>511</v>
      </c>
      <c r="H88" t="s">
        <v>475</v>
      </c>
      <c r="L88" t="s">
        <v>476</v>
      </c>
      <c r="P88" t="s">
        <v>477</v>
      </c>
      <c r="U88" t="s">
        <v>478</v>
      </c>
      <c r="AC88" t="s">
        <v>479</v>
      </c>
    </row>
    <row r="89">
      <c r="X89" t="s">
        <v>385</v>
      </c>
      <c r="Y89">
        <v>5.0000000000000003e-02</v>
      </c>
    </row>
    <row r="90">
      <c r="D90" s="24" t="s">
        <v>355</v>
      </c>
      <c r="E90" s="24" t="s">
        <v>173</v>
      </c>
      <c r="F90" s="24" t="s">
        <v>480</v>
      </c>
      <c r="H90" s="24" t="s">
        <v>481</v>
      </c>
      <c r="I90" s="24" t="s">
        <v>482</v>
      </c>
      <c r="J90" s="24" t="s">
        <v>483</v>
      </c>
      <c r="L90" s="24" t="s">
        <v>469</v>
      </c>
      <c r="M90" s="24" t="s">
        <v>470</v>
      </c>
      <c r="N90" s="24" t="s">
        <v>484</v>
      </c>
      <c r="P90" s="24" t="s">
        <v>485</v>
      </c>
      <c r="Q90" s="24" t="s">
        <v>486</v>
      </c>
      <c r="R90" s="24" t="s">
        <v>358</v>
      </c>
      <c r="S90" s="24" t="s">
        <v>189</v>
      </c>
      <c r="U90" s="24" t="s">
        <v>355</v>
      </c>
      <c r="V90" s="24" t="s">
        <v>173</v>
      </c>
      <c r="W90" s="24" t="s">
        <v>480</v>
      </c>
      <c r="X90" s="24" t="s">
        <v>208</v>
      </c>
      <c r="Y90" s="24" t="s">
        <v>183</v>
      </c>
      <c r="Z90" s="24" t="s">
        <v>215</v>
      </c>
      <c r="AA90" s="24" t="s">
        <v>216</v>
      </c>
      <c r="AC90" s="24" t="s">
        <v>355</v>
      </c>
      <c r="AD90" s="24" t="s">
        <v>193</v>
      </c>
    </row>
    <row r="91">
      <c r="D91">
        <v>1</v>
      </c>
      <c r="E91">
        <f t="shared" ref="E91:E96" si="742">B4</f>
        <v>4.5267574698597501</v>
      </c>
      <c r="F91">
        <v>0</v>
      </c>
      <c r="H91" s="15">
        <v>3</v>
      </c>
      <c r="I91">
        <v>0.52489081484369027</v>
      </c>
      <c r="J91">
        <v>0</v>
      </c>
      <c r="L91" t="e">
        <v>#NAME?</v>
      </c>
      <c r="M91" t="e">
        <v>#NAME?</v>
      </c>
      <c r="N91" t="e">
        <v>#NAME?</v>
      </c>
      <c r="P91" t="s">
        <v>488</v>
      </c>
      <c r="Q91">
        <f>I93</f>
        <v>1.19771381888479</v>
      </c>
      <c r="R91" t="e">
        <v>#NAME?</v>
      </c>
      <c r="S91" t="e">
        <f>CHIDIST(J106*(LN(R91)-LN(J96)),1)</f>
        <v>#NAME?</v>
      </c>
      <c r="U91">
        <f t="shared" ref="U91:U99" si="743">D91</f>
        <v>1</v>
      </c>
      <c r="V91">
        <f t="shared" si="735"/>
        <v>4.5267574698597501</v>
      </c>
      <c r="W91">
        <f t="shared" si="736"/>
        <v>0</v>
      </c>
      <c r="X91">
        <f t="shared" ref="X91:X99" si="744">V91-W91</f>
        <v>4.5267574698597501</v>
      </c>
      <c r="Y91">
        <f t="shared" ref="Y91:Y110" si="745">J$103</f>
        <v>0.97192631293472487</v>
      </c>
      <c r="Z91">
        <f t="shared" ref="Z91:Z99" si="746">X91-NORMSINV(1-Y$89/2)*Y91</f>
        <v>2.6218169947788099</v>
      </c>
      <c r="AA91">
        <f t="shared" ref="AA91:AA99" si="747">X91+NORMSINV(1-Y$89/2)*Y91</f>
        <v>6.4316979449406899</v>
      </c>
      <c r="AC91">
        <v>1</v>
      </c>
      <c r="AD91">
        <f t="shared" ref="AD91:AD96" si="748">B4</f>
        <v>4.5267574698597501</v>
      </c>
    </row>
    <row r="92">
      <c r="D92">
        <f t="shared" si="737"/>
        <v>2</v>
      </c>
      <c r="E92">
        <f t="shared" si="742"/>
        <v>6.8933707775124997</v>
      </c>
      <c r="F92">
        <v>0</v>
      </c>
      <c r="H92" s="15">
        <f t="shared" si="718"/>
        <v>2</v>
      </c>
      <c r="I92">
        <v>-0.73434566360826548</v>
      </c>
      <c r="J92">
        <v>0</v>
      </c>
      <c r="L92" t="e">
        <v>#NAME?</v>
      </c>
      <c r="M92" t="e">
        <v>#NAME?</v>
      </c>
      <c r="N92" t="e">
        <v>#NAME?</v>
      </c>
      <c r="P92" t="s">
        <v>489</v>
      </c>
      <c r="Q92">
        <f>I92</f>
        <v>-0.73434566360826603</v>
      </c>
      <c r="R92" t="e">
        <v>#NAME?</v>
      </c>
      <c r="S92" t="e">
        <f>CHIDIST(J106*(LN(R92)-LN(J96)),1)</f>
        <v>#NAME?</v>
      </c>
      <c r="U92">
        <f t="shared" si="743"/>
        <v>2</v>
      </c>
      <c r="V92">
        <f t="shared" si="735"/>
        <v>6.8933707775124997</v>
      </c>
      <c r="W92">
        <f t="shared" si="736"/>
        <v>0</v>
      </c>
      <c r="X92">
        <f t="shared" si="744"/>
        <v>6.8933707775124997</v>
      </c>
      <c r="Y92">
        <f t="shared" si="745"/>
        <v>0.97192631293472487</v>
      </c>
      <c r="Z92">
        <f t="shared" si="746"/>
        <v>4.9884303024315599</v>
      </c>
      <c r="AA92">
        <f t="shared" si="747"/>
        <v>8.7983112525934395</v>
      </c>
      <c r="AC92">
        <f t="shared" si="738"/>
        <v>2</v>
      </c>
      <c r="AD92">
        <f t="shared" si="748"/>
        <v>6.8933707775124997</v>
      </c>
    </row>
    <row r="93">
      <c r="D93">
        <f t="shared" si="737"/>
        <v>3</v>
      </c>
      <c r="E93">
        <f t="shared" si="742"/>
        <v>8.4253951175675894</v>
      </c>
      <c r="F93">
        <v>0</v>
      </c>
      <c r="H93" s="15">
        <f t="shared" si="718"/>
        <v>1</v>
      </c>
      <c r="I93">
        <v>1.1977138188847922</v>
      </c>
      <c r="J93">
        <v>0</v>
      </c>
      <c r="L93" s="14" t="e">
        <v>#NAME?</v>
      </c>
      <c r="M93" s="14" t="e">
        <v>#NAME?</v>
      </c>
      <c r="N93" s="14" t="e">
        <v>#NAME?</v>
      </c>
      <c r="P93" t="s">
        <v>493</v>
      </c>
      <c r="Q93">
        <f>I91</f>
        <v>0.52489081484369005</v>
      </c>
      <c r="R93" t="e">
        <v>#NAME?</v>
      </c>
      <c r="S93" t="e">
        <f>CHIDIST(J106*(LN(R93)-LN(J96)),1)</f>
        <v>#NAME?</v>
      </c>
      <c r="U93">
        <f t="shared" si="743"/>
        <v>3</v>
      </c>
      <c r="V93">
        <f t="shared" si="735"/>
        <v>8.4253951175675894</v>
      </c>
      <c r="W93">
        <f t="shared" si="736"/>
        <v>0</v>
      </c>
      <c r="X93">
        <f t="shared" si="744"/>
        <v>8.4253951175675894</v>
      </c>
      <c r="Y93">
        <f t="shared" si="745"/>
        <v>0.97192631293472487</v>
      </c>
      <c r="Z93">
        <f t="shared" si="746"/>
        <v>6.5204546424866496</v>
      </c>
      <c r="AA93">
        <f t="shared" si="747"/>
        <v>10.330335592648501</v>
      </c>
      <c r="AC93">
        <f t="shared" si="738"/>
        <v>3</v>
      </c>
      <c r="AD93">
        <f t="shared" si="748"/>
        <v>8.4253951175675894</v>
      </c>
    </row>
    <row r="94">
      <c r="D94">
        <f t="shared" si="737"/>
        <v>4</v>
      </c>
      <c r="E94">
        <f t="shared" si="742"/>
        <v>6.9995020869890103</v>
      </c>
      <c r="F94">
        <f t="shared" ref="F94:F99" si="749">E94-SUMPRODUCT(E91:E93,I$91:I$93)</f>
        <v>-0.40564655373035902</v>
      </c>
      <c r="H94" s="17" t="s">
        <v>494</v>
      </c>
      <c r="I94" s="14">
        <v>0</v>
      </c>
      <c r="J94" s="14">
        <v>0</v>
      </c>
      <c r="P94" s="14" t="s">
        <v>283</v>
      </c>
      <c r="Q94" s="14">
        <f>J104</f>
        <v>6.6860051522260298</v>
      </c>
      <c r="R94" s="14">
        <f>-Q94/(J105/SQRT(J106))</f>
        <v>-26.793730763335301</v>
      </c>
      <c r="S94" s="14">
        <f>TDIST(ABS(R94),J106-1,2)</f>
        <v>1.0120327520916391e-14</v>
      </c>
      <c r="U94">
        <f t="shared" si="743"/>
        <v>4</v>
      </c>
      <c r="V94">
        <f t="shared" si="735"/>
        <v>6.9995020869890103</v>
      </c>
      <c r="W94">
        <f t="shared" si="736"/>
        <v>-0.40564655373035902</v>
      </c>
      <c r="X94">
        <f t="shared" si="744"/>
        <v>7.4051486407193696</v>
      </c>
      <c r="Y94">
        <f t="shared" si="745"/>
        <v>0.97192631293472487</v>
      </c>
      <c r="Z94">
        <f t="shared" si="746"/>
        <v>5.5002081656384298</v>
      </c>
      <c r="AA94">
        <f t="shared" si="747"/>
        <v>9.3100891158003094</v>
      </c>
      <c r="AC94">
        <f t="shared" si="738"/>
        <v>4</v>
      </c>
      <c r="AD94">
        <f t="shared" si="748"/>
        <v>6.9995020869890103</v>
      </c>
    </row>
    <row r="95">
      <c r="D95">
        <f t="shared" si="737"/>
        <v>5</v>
      </c>
      <c r="E95">
        <f t="shared" si="742"/>
        <v>6.1875941616300798</v>
      </c>
      <c r="F95">
        <f t="shared" si="749"/>
        <v>0.37307915107418999</v>
      </c>
      <c r="L95" t="s">
        <v>495</v>
      </c>
      <c r="U95">
        <f t="shared" si="743"/>
        <v>5</v>
      </c>
      <c r="V95">
        <f t="shared" si="735"/>
        <v>6.1875941616300798</v>
      </c>
      <c r="W95">
        <f t="shared" si="736"/>
        <v>0.37307915107418999</v>
      </c>
      <c r="X95">
        <f t="shared" si="744"/>
        <v>5.8145150105558896</v>
      </c>
      <c r="Y95">
        <f t="shared" si="745"/>
        <v>0.97192631293472487</v>
      </c>
      <c r="Z95">
        <f t="shared" si="746"/>
        <v>3.9095745354749498</v>
      </c>
      <c r="AA95">
        <f t="shared" si="747"/>
        <v>7.7194554856368303</v>
      </c>
      <c r="AC95">
        <f t="shared" si="738"/>
        <v>5</v>
      </c>
      <c r="AD95">
        <f t="shared" si="748"/>
        <v>6.1875941616300798</v>
      </c>
    </row>
    <row r="96">
      <c r="D96">
        <f t="shared" si="737"/>
        <v>6</v>
      </c>
      <c r="E96">
        <f t="shared" si="742"/>
        <v>5.8129764708798204</v>
      </c>
      <c r="F96">
        <f t="shared" si="749"/>
        <v>-0.88034906579809902</v>
      </c>
      <c r="I96" t="s">
        <v>464</v>
      </c>
      <c r="J96" s="18">
        <f>SUMSQ(F94:F110)</f>
        <v>16.058892882173101</v>
      </c>
      <c r="P96" t="s">
        <v>496</v>
      </c>
      <c r="Q96" s="16" t="s">
        <v>363</v>
      </c>
      <c r="U96">
        <f t="shared" si="743"/>
        <v>6</v>
      </c>
      <c r="V96">
        <f t="shared" si="735"/>
        <v>5.8129764708798204</v>
      </c>
      <c r="W96">
        <f t="shared" si="736"/>
        <v>-0.88034906579809902</v>
      </c>
      <c r="X96">
        <f t="shared" si="744"/>
        <v>6.6933255366779196</v>
      </c>
      <c r="Y96">
        <f t="shared" si="745"/>
        <v>0.97192631293472487</v>
      </c>
      <c r="Z96">
        <f t="shared" si="746"/>
        <v>4.7883850615969799</v>
      </c>
      <c r="AA96">
        <f t="shared" si="747"/>
        <v>8.5982660117588594</v>
      </c>
      <c r="AC96">
        <f t="shared" si="738"/>
        <v>6</v>
      </c>
      <c r="AD96">
        <f t="shared" si="748"/>
        <v>5.8129764708798204</v>
      </c>
    </row>
    <row r="97">
      <c r="D97">
        <f t="shared" si="737"/>
        <v>7</v>
      </c>
      <c r="E97">
        <f t="shared" ref="E97:E110" si="750">B10</f>
        <v>7.1200726875188396</v>
      </c>
      <c r="F97">
        <f t="shared" si="749"/>
        <v>1.02764902631503</v>
      </c>
      <c r="L97" s="24" t="s">
        <v>469</v>
      </c>
      <c r="M97" s="24" t="s">
        <v>470</v>
      </c>
      <c r="N97" s="24" t="s">
        <v>484</v>
      </c>
      <c r="U97">
        <f t="shared" si="743"/>
        <v>7</v>
      </c>
      <c r="V97">
        <f t="shared" si="735"/>
        <v>7.1200726875188396</v>
      </c>
      <c r="W97">
        <f t="shared" si="736"/>
        <v>1.02764902631503</v>
      </c>
      <c r="X97">
        <f t="shared" si="744"/>
        <v>6.0924236612038101</v>
      </c>
      <c r="Y97">
        <f t="shared" si="745"/>
        <v>0.97192631293472487</v>
      </c>
      <c r="Z97">
        <f t="shared" si="746"/>
        <v>4.1874831861228703</v>
      </c>
      <c r="AA97">
        <f t="shared" si="747"/>
        <v>7.9973641362847498</v>
      </c>
      <c r="AC97">
        <f t="shared" si="738"/>
        <v>7</v>
      </c>
      <c r="AD97">
        <f t="shared" ref="AD97:AD110" si="751">B10</f>
        <v>7.1200726875188396</v>
      </c>
    </row>
    <row r="98">
      <c r="D98">
        <f t="shared" si="737"/>
        <v>8</v>
      </c>
      <c r="E98">
        <f t="shared" si="750"/>
        <v>8.5019149332741097</v>
      </c>
      <c r="F98">
        <f t="shared" si="749"/>
        <v>0.99502820659602009</v>
      </c>
      <c r="I98" t="s">
        <v>497</v>
      </c>
      <c r="J98" s="7">
        <v>3</v>
      </c>
      <c r="U98">
        <f t="shared" si="743"/>
        <v>8</v>
      </c>
      <c r="V98">
        <f t="shared" si="735"/>
        <v>8.5019149332741097</v>
      </c>
      <c r="W98">
        <f t="shared" si="736"/>
        <v>0.99502820659602009</v>
      </c>
      <c r="X98">
        <f t="shared" si="744"/>
        <v>7.5068867266780899</v>
      </c>
      <c r="Y98">
        <f t="shared" si="745"/>
        <v>0.97192631293472487</v>
      </c>
      <c r="Z98">
        <f t="shared" si="746"/>
        <v>5.6019462515971501</v>
      </c>
      <c r="AA98">
        <f t="shared" si="747"/>
        <v>9.4118272017590296</v>
      </c>
      <c r="AC98">
        <f t="shared" si="738"/>
        <v>8</v>
      </c>
      <c r="AD98">
        <f t="shared" si="751"/>
        <v>8.5019149332741097</v>
      </c>
    </row>
    <row r="99">
      <c r="D99">
        <f t="shared" si="737"/>
        <v>9</v>
      </c>
      <c r="E99">
        <f t="shared" si="750"/>
        <v>7.3012221051820596</v>
      </c>
      <c r="F99">
        <f t="shared" si="749"/>
        <v>-0.70422235119552001</v>
      </c>
      <c r="I99" t="s">
        <v>498</v>
      </c>
      <c r="J99" s="10">
        <v>0</v>
      </c>
      <c r="L99" t="s">
        <v>499</v>
      </c>
      <c r="U99">
        <f t="shared" si="743"/>
        <v>9</v>
      </c>
      <c r="V99">
        <f t="shared" si="735"/>
        <v>7.3012221051820596</v>
      </c>
      <c r="W99">
        <f t="shared" si="736"/>
        <v>-0.70422235119552001</v>
      </c>
      <c r="X99">
        <f t="shared" si="744"/>
        <v>8.00544445637758</v>
      </c>
      <c r="Y99">
        <f t="shared" si="745"/>
        <v>0.97192631293472487</v>
      </c>
      <c r="Z99">
        <f t="shared" si="746"/>
        <v>6.1005039812966402</v>
      </c>
      <c r="AA99">
        <f t="shared" si="747"/>
        <v>9.9103849314585197</v>
      </c>
      <c r="AC99">
        <f t="shared" si="738"/>
        <v>9</v>
      </c>
      <c r="AD99">
        <f t="shared" si="751"/>
        <v>7.3012221051820596</v>
      </c>
    </row>
    <row r="100">
      <c r="D100">
        <f t="shared" si="737"/>
        <v>10</v>
      </c>
      <c r="E100">
        <f t="shared" si="750"/>
        <v>6.0388768293832698</v>
      </c>
      <c r="F100">
        <f>E100-SUMPRODUCT(E97:E99,I$91:I$93)</f>
        <v>-0.19981417182226999</v>
      </c>
      <c r="I100" t="s">
        <v>181</v>
      </c>
      <c r="J100" s="10">
        <v>0</v>
      </c>
      <c r="U100">
        <f t="shared" ref="U100:U110" si="752">D100</f>
        <v>10</v>
      </c>
      <c r="V100">
        <f t="shared" ref="V100:V110" si="753">E100</f>
        <v>6.0388768293832698</v>
      </c>
      <c r="W100">
        <f t="shared" ref="W100:W110" si="754">F100</f>
        <v>-0.19981417182226999</v>
      </c>
      <c r="X100">
        <f t="shared" ref="X100:X110" si="755">V100-W100</f>
        <v>6.2386910012055399</v>
      </c>
      <c r="Y100">
        <f t="shared" si="745"/>
        <v>0.97192631293472487</v>
      </c>
      <c r="Z100">
        <f t="shared" ref="Z100:Z115" si="756">X100-NORMSINV(1-Y$89/2)*Y100</f>
        <v>4.3337505261246001</v>
      </c>
      <c r="AA100">
        <f t="shared" ref="AA100:AA115" si="757">X100+NORMSINV(1-Y$89/2)*Y100</f>
        <v>8.1436314762864797</v>
      </c>
      <c r="AC100">
        <f t="shared" si="738"/>
        <v>10</v>
      </c>
      <c r="AD100">
        <f t="shared" si="751"/>
        <v>6.0388768293832698</v>
      </c>
    </row>
    <row r="101">
      <c r="D101">
        <f t="shared" ref="D101:D110" si="758">D100+1</f>
        <v>11</v>
      </c>
      <c r="E101">
        <f t="shared" si="750"/>
        <v>4.7460896891377899</v>
      </c>
      <c r="F101">
        <f t="shared" ref="F101:F102" si="759">E101-SUMPRODUCT(E98:E100,I$91:I$93)</f>
        <v>-1.58771280503446</v>
      </c>
      <c r="I101" t="s">
        <v>500</v>
      </c>
      <c r="J101" s="10">
        <f>AVERAGE(F94:F110)</f>
        <v>5.3773360653894001e-02</v>
      </c>
      <c r="L101" s="24" t="s">
        <v>481</v>
      </c>
      <c r="M101" s="24" t="s">
        <v>501</v>
      </c>
      <c r="U101">
        <f t="shared" si="752"/>
        <v>11</v>
      </c>
      <c r="V101">
        <f t="shared" si="753"/>
        <v>4.7460896891377899</v>
      </c>
      <c r="W101">
        <f t="shared" si="754"/>
        <v>-1.58771280503446</v>
      </c>
      <c r="X101">
        <f t="shared" si="755"/>
        <v>6.3338024941722502</v>
      </c>
      <c r="Y101">
        <f t="shared" si="745"/>
        <v>0.97192631293472487</v>
      </c>
      <c r="Z101">
        <f t="shared" si="756"/>
        <v>4.4288620190913104</v>
      </c>
      <c r="AA101">
        <f t="shared" si="757"/>
        <v>8.2387429692531899</v>
      </c>
      <c r="AC101">
        <f t="shared" ref="AC101:AC115" si="760">AC100+1</f>
        <v>11</v>
      </c>
      <c r="AD101">
        <f t="shared" si="751"/>
        <v>4.7460896891377899</v>
      </c>
    </row>
    <row r="102">
      <c r="D102">
        <f t="shared" si="758"/>
        <v>12</v>
      </c>
      <c r="E102">
        <f t="shared" si="750"/>
        <v>6.6536767183588399</v>
      </c>
      <c r="F102">
        <f t="shared" si="759"/>
        <v>1.5714981045901399</v>
      </c>
      <c r="I102" t="s">
        <v>502</v>
      </c>
      <c r="J102" s="10">
        <f>STDEV(F94:F110)</f>
        <v>1.0003042074414401</v>
      </c>
      <c r="L102" s="42">
        <v>0</v>
      </c>
      <c r="M102" s="42" t="e">
        <v>#NAME?</v>
      </c>
      <c r="U102">
        <f t="shared" si="752"/>
        <v>12</v>
      </c>
      <c r="V102">
        <f t="shared" si="753"/>
        <v>6.6536767183588399</v>
      </c>
      <c r="W102">
        <f t="shared" si="754"/>
        <v>1.5714981045901399</v>
      </c>
      <c r="X102">
        <f t="shared" si="755"/>
        <v>5.0821786137686997</v>
      </c>
      <c r="Y102">
        <f t="shared" si="745"/>
        <v>0.97192631293472487</v>
      </c>
      <c r="Z102">
        <f t="shared" si="756"/>
        <v>3.1772381386877599</v>
      </c>
      <c r="AA102">
        <f t="shared" si="757"/>
        <v>6.9871190888496404</v>
      </c>
      <c r="AC102">
        <f t="shared" si="760"/>
        <v>12</v>
      </c>
      <c r="AD102">
        <f t="shared" si="751"/>
        <v>6.6536767183588399</v>
      </c>
    </row>
    <row r="103">
      <c r="D103">
        <f t="shared" si="758"/>
        <v>13</v>
      </c>
      <c r="E103">
        <f t="shared" si="750"/>
        <v>8.1939759194869595</v>
      </c>
      <c r="F103">
        <f t="shared" ref="F103:F110" si="761">E103-SUMPRODUCT(E100:E102,I$91:I$93)</f>
        <v>0.54029477011512905</v>
      </c>
      <c r="I103" t="s">
        <v>503</v>
      </c>
      <c r="J103" s="10">
        <f>SQRT(J96/J106)</f>
        <v>0.97192631293472487</v>
      </c>
      <c r="L103">
        <f t="shared" ref="L103:L106" si="762">L102+1</f>
        <v>1</v>
      </c>
      <c r="M103" t="e">
        <v>#NAME?</v>
      </c>
      <c r="U103">
        <f t="shared" si="752"/>
        <v>13</v>
      </c>
      <c r="V103">
        <f t="shared" si="753"/>
        <v>8.1939759194869595</v>
      </c>
      <c r="W103">
        <f t="shared" si="754"/>
        <v>0.54029477011512905</v>
      </c>
      <c r="X103">
        <f t="shared" si="755"/>
        <v>7.6536811493718302</v>
      </c>
      <c r="Y103">
        <f t="shared" si="745"/>
        <v>0.97192631293472487</v>
      </c>
      <c r="Z103">
        <f t="shared" si="756"/>
        <v>5.7487406742908904</v>
      </c>
      <c r="AA103">
        <f t="shared" si="757"/>
        <v>9.5586216244527709</v>
      </c>
      <c r="AC103">
        <f t="shared" si="760"/>
        <v>13</v>
      </c>
      <c r="AD103">
        <f t="shared" si="751"/>
        <v>8.1939759194869595</v>
      </c>
    </row>
    <row r="104">
      <c r="D104">
        <f t="shared" si="758"/>
        <v>14</v>
      </c>
      <c r="E104">
        <f t="shared" si="750"/>
        <v>7.5602635334693504</v>
      </c>
      <c r="F104">
        <f t="shared" si="761"/>
        <v>0.14114510401590999</v>
      </c>
      <c r="I104" t="s">
        <v>504</v>
      </c>
      <c r="J104" s="10">
        <f>AVERAGE(E94:E110)</f>
        <v>6.6860051522260298</v>
      </c>
      <c r="L104">
        <f t="shared" si="762"/>
        <v>2</v>
      </c>
      <c r="M104" t="e">
        <v>#NAME?</v>
      </c>
      <c r="U104">
        <f t="shared" si="752"/>
        <v>14</v>
      </c>
      <c r="V104">
        <f t="shared" si="753"/>
        <v>7.5602635334693504</v>
      </c>
      <c r="W104">
        <f t="shared" si="754"/>
        <v>0.14114510401590999</v>
      </c>
      <c r="X104">
        <f t="shared" si="755"/>
        <v>7.41911842945344</v>
      </c>
      <c r="Y104">
        <f t="shared" si="745"/>
        <v>0.97192631293472487</v>
      </c>
      <c r="Z104">
        <f t="shared" si="756"/>
        <v>5.5141779543725002</v>
      </c>
      <c r="AA104">
        <f t="shared" si="757"/>
        <v>9.3240589045343807</v>
      </c>
      <c r="AC104">
        <f t="shared" si="760"/>
        <v>14</v>
      </c>
      <c r="AD104">
        <f t="shared" si="751"/>
        <v>7.5602635334693504</v>
      </c>
    </row>
    <row r="105">
      <c r="D105">
        <f t="shared" si="758"/>
        <v>15</v>
      </c>
      <c r="E105">
        <f t="shared" si="750"/>
        <v>6.7944512971362103</v>
      </c>
      <c r="F105">
        <f t="shared" si="761"/>
        <v>0.26417607846914098</v>
      </c>
      <c r="I105" t="s">
        <v>505</v>
      </c>
      <c r="J105" s="10">
        <f>STDEV(E94:E110)</f>
        <v>1.02886401671897</v>
      </c>
      <c r="L105">
        <f t="shared" si="762"/>
        <v>3</v>
      </c>
      <c r="M105" t="e">
        <v>#NAME?</v>
      </c>
      <c r="U105">
        <f t="shared" si="752"/>
        <v>15</v>
      </c>
      <c r="V105">
        <f t="shared" si="753"/>
        <v>6.7944512971362103</v>
      </c>
      <c r="W105">
        <f t="shared" si="754"/>
        <v>0.26417607846914098</v>
      </c>
      <c r="X105">
        <f t="shared" si="755"/>
        <v>6.5302752186670698</v>
      </c>
      <c r="Y105">
        <f t="shared" si="745"/>
        <v>0.97192631293472487</v>
      </c>
      <c r="Z105">
        <f t="shared" si="756"/>
        <v>4.6253347435861301</v>
      </c>
      <c r="AA105">
        <f t="shared" si="757"/>
        <v>8.4352156937480096</v>
      </c>
      <c r="AC105">
        <f t="shared" si="760"/>
        <v>15</v>
      </c>
      <c r="AD105">
        <f t="shared" si="751"/>
        <v>6.7944512971362103</v>
      </c>
    </row>
    <row r="106">
      <c r="D106">
        <f t="shared" si="758"/>
        <v>16</v>
      </c>
      <c r="E106">
        <f t="shared" si="750"/>
        <v>4.7244665351583901</v>
      </c>
      <c r="F106">
        <f t="shared" si="761"/>
        <v>-2.1624376308115201</v>
      </c>
      <c r="I106" t="s">
        <v>506</v>
      </c>
      <c r="J106" s="13">
        <f>COUNT(E94:E110)</f>
        <v>17</v>
      </c>
      <c r="L106" s="14">
        <f t="shared" si="762"/>
        <v>4</v>
      </c>
      <c r="M106" s="14" t="e">
        <v>#NAME?</v>
      </c>
      <c r="U106">
        <f t="shared" si="752"/>
        <v>16</v>
      </c>
      <c r="V106">
        <f t="shared" si="753"/>
        <v>4.7244665351583901</v>
      </c>
      <c r="W106">
        <f t="shared" si="754"/>
        <v>-2.1624376308115201</v>
      </c>
      <c r="X106">
        <f t="shared" si="755"/>
        <v>6.8869041659699102</v>
      </c>
      <c r="Y106">
        <f t="shared" si="745"/>
        <v>0.97192631293472487</v>
      </c>
      <c r="Z106">
        <f t="shared" si="756"/>
        <v>4.9819636908889704</v>
      </c>
      <c r="AA106">
        <f t="shared" si="757"/>
        <v>8.7918446410508508</v>
      </c>
      <c r="AC106">
        <f t="shared" si="760"/>
        <v>16</v>
      </c>
      <c r="AD106">
        <f t="shared" si="751"/>
        <v>4.7244665351583901</v>
      </c>
    </row>
    <row r="107">
      <c r="D107">
        <f t="shared" si="758"/>
        <v>17</v>
      </c>
      <c r="E107">
        <f t="shared" si="750"/>
        <v>6.0271551265385899</v>
      </c>
      <c r="F107">
        <f t="shared" si="761"/>
        <v>1.3897592306544</v>
      </c>
      <c r="U107">
        <f t="shared" si="752"/>
        <v>17</v>
      </c>
      <c r="V107">
        <f t="shared" si="753"/>
        <v>6.0271551265385899</v>
      </c>
      <c r="W107">
        <f t="shared" si="754"/>
        <v>1.3897592306544</v>
      </c>
      <c r="X107">
        <f t="shared" si="755"/>
        <v>4.6373958958841897</v>
      </c>
      <c r="Y107">
        <f t="shared" si="745"/>
        <v>0.97192631293472487</v>
      </c>
      <c r="Z107">
        <f t="shared" si="756"/>
        <v>2.7324554208032499</v>
      </c>
      <c r="AA107">
        <f t="shared" si="757"/>
        <v>6.5423363709651303</v>
      </c>
      <c r="AC107">
        <f t="shared" si="760"/>
        <v>17</v>
      </c>
      <c r="AD107">
        <f t="shared" si="751"/>
        <v>6.0271551265385899</v>
      </c>
    </row>
    <row r="108">
      <c r="D108">
        <f t="shared" si="758"/>
        <v>18</v>
      </c>
      <c r="E108">
        <f t="shared" si="750"/>
        <v>7.1259100258620904</v>
      </c>
      <c r="F108">
        <f t="shared" si="761"/>
        <v>-0.18985052256915899</v>
      </c>
      <c r="I108" t="s">
        <v>507</v>
      </c>
      <c r="J108" s="7">
        <f>-(J111-2*(J98+J99))/2</f>
        <v>-23.637875183212699</v>
      </c>
      <c r="U108">
        <f t="shared" si="752"/>
        <v>18</v>
      </c>
      <c r="V108">
        <f t="shared" si="753"/>
        <v>7.1259100258620904</v>
      </c>
      <c r="W108">
        <f t="shared" si="754"/>
        <v>-0.18985052256915899</v>
      </c>
      <c r="X108">
        <f t="shared" si="755"/>
        <v>7.3157605484312498</v>
      </c>
      <c r="Y108">
        <f t="shared" si="745"/>
        <v>0.97192631293472487</v>
      </c>
      <c r="Z108">
        <f t="shared" si="756"/>
        <v>5.41082007335031</v>
      </c>
      <c r="AA108">
        <f t="shared" si="757"/>
        <v>9.2207010235121896</v>
      </c>
      <c r="AC108">
        <f t="shared" si="760"/>
        <v>18</v>
      </c>
      <c r="AD108">
        <f t="shared" si="751"/>
        <v>7.1259100258620904</v>
      </c>
    </row>
    <row r="109">
      <c r="D109">
        <f t="shared" si="758"/>
        <v>19</v>
      </c>
      <c r="E109">
        <f t="shared" si="750"/>
        <v>7.19124782949216</v>
      </c>
      <c r="F109">
        <f t="shared" si="761"/>
        <v>0.60263306111435</v>
      </c>
      <c r="I109" t="s">
        <v>374</v>
      </c>
      <c r="J109" s="10">
        <f>J106*LN(J96/J106)+2*(J98+J99)</f>
        <v>5.0318402374664704</v>
      </c>
      <c r="U109">
        <f t="shared" si="752"/>
        <v>19</v>
      </c>
      <c r="V109">
        <f t="shared" si="753"/>
        <v>7.19124782949216</v>
      </c>
      <c r="W109">
        <f t="shared" si="754"/>
        <v>0.60263306111435</v>
      </c>
      <c r="X109">
        <f t="shared" si="755"/>
        <v>6.58861476837781</v>
      </c>
      <c r="Y109">
        <f t="shared" si="745"/>
        <v>0.97192631293472487</v>
      </c>
      <c r="Z109">
        <f t="shared" si="756"/>
        <v>4.6836742932968702</v>
      </c>
      <c r="AA109">
        <f t="shared" si="757"/>
        <v>8.4935552434587507</v>
      </c>
      <c r="AC109">
        <f t="shared" si="760"/>
        <v>19</v>
      </c>
      <c r="AD109">
        <f t="shared" si="751"/>
        <v>7.19124782949216</v>
      </c>
    </row>
    <row r="110">
      <c r="D110" s="14">
        <f t="shared" si="758"/>
        <v>20</v>
      </c>
      <c r="E110" s="14">
        <f t="shared" si="750"/>
        <v>6.6826916383449904</v>
      </c>
      <c r="F110" s="14">
        <f t="shared" si="761"/>
        <v>0.138917499133281</v>
      </c>
      <c r="I110" t="s">
        <v>508</v>
      </c>
      <c r="J110" s="10">
        <f>J106*LN(J96/J106)+LN(J106)*(J98+J99)</f>
        <v>7.5314802696351304</v>
      </c>
      <c r="U110">
        <f t="shared" si="752"/>
        <v>20</v>
      </c>
      <c r="V110">
        <f t="shared" si="753"/>
        <v>6.6826916383449904</v>
      </c>
      <c r="W110">
        <f t="shared" si="754"/>
        <v>0.138917499133281</v>
      </c>
      <c r="X110">
        <f t="shared" si="755"/>
        <v>6.5437741392117097</v>
      </c>
      <c r="Y110">
        <f t="shared" si="745"/>
        <v>0.97192631293472487</v>
      </c>
      <c r="Z110">
        <f t="shared" si="756"/>
        <v>4.6388336641307699</v>
      </c>
      <c r="AA110">
        <f t="shared" si="757"/>
        <v>8.4487146142926495</v>
      </c>
      <c r="AC110" s="14">
        <f t="shared" si="760"/>
        <v>20</v>
      </c>
      <c r="AD110" s="14">
        <f t="shared" si="751"/>
        <v>6.6826916383449904</v>
      </c>
    </row>
    <row r="111">
      <c r="I111" t="s">
        <v>509</v>
      </c>
      <c r="J111" s="10">
        <f>J106*(1+LN(2*PI()))+J109</f>
        <v>53.275750366425299</v>
      </c>
      <c r="U111">
        <f t="shared" ref="U111:U115" si="763">U110+1</f>
        <v>21</v>
      </c>
      <c r="X111">
        <f>SUMPRODUCT(V108:V110,I$91:I$93)</f>
        <v>6.4634151830492996</v>
      </c>
      <c r="Y111" t="e">
        <f t="shared" ref="Y111:Y115" si="764">J$103*SQRT(SUMSQ(M$102:M102))</f>
        <v>#NAME?</v>
      </c>
      <c r="Z111" t="e">
        <f t="shared" si="756"/>
        <v>#NAME?</v>
      </c>
      <c r="AA111" t="e">
        <f t="shared" si="757"/>
        <v>#NAME?</v>
      </c>
      <c r="AC111">
        <f t="shared" si="760"/>
        <v>21</v>
      </c>
      <c r="AD111">
        <f t="shared" ref="AD111:AD115" si="765">X111</f>
        <v>6.4634151830492996</v>
      </c>
    </row>
    <row r="112">
      <c r="I112" t="s">
        <v>510</v>
      </c>
      <c r="J112" s="13">
        <f>J106*(1+LN(2*PI()))+J110</f>
        <v>55.775390398593899</v>
      </c>
      <c r="U112">
        <f t="shared" si="763"/>
        <v>22</v>
      </c>
      <c r="X112">
        <f>SUMPRODUCT(V109:V110,I91:I92)+SUMPRODUCT(X111,I93)</f>
        <v>6.6085359890431299</v>
      </c>
      <c r="Y112" t="e">
        <f t="shared" si="764"/>
        <v>#NAME?</v>
      </c>
      <c r="Z112" t="e">
        <f t="shared" si="756"/>
        <v>#NAME?</v>
      </c>
      <c r="AA112" t="e">
        <f t="shared" si="757"/>
        <v>#NAME?</v>
      </c>
      <c r="AC112">
        <f t="shared" si="760"/>
        <v>22</v>
      </c>
      <c r="AD112">
        <f t="shared" si="765"/>
        <v>6.6085359890431299</v>
      </c>
    </row>
    <row r="113">
      <c r="U113">
        <f t="shared" si="763"/>
        <v>23</v>
      </c>
      <c r="X113">
        <f>SUMPRODUCT(V110,I91)+SUMPRODUCT(X111:X112,I92:I93)</f>
        <v>6.6764374243023799</v>
      </c>
      <c r="Y113" t="e">
        <f t="shared" si="764"/>
        <v>#NAME?</v>
      </c>
      <c r="Z113" t="e">
        <f t="shared" si="756"/>
        <v>#NAME?</v>
      </c>
      <c r="AA113" t="e">
        <f t="shared" si="757"/>
        <v>#NAME?</v>
      </c>
      <c r="AC113">
        <f t="shared" si="760"/>
        <v>23</v>
      </c>
      <c r="AD113">
        <f t="shared" si="765"/>
        <v>6.6764374243023799</v>
      </c>
    </row>
    <row r="114">
      <c r="U114">
        <f t="shared" si="763"/>
        <v>24</v>
      </c>
      <c r="X114">
        <f>SUMPRODUCT(X111:X113,I91:I93)</f>
        <v>6.5360988797573896</v>
      </c>
      <c r="Y114" t="e">
        <f t="shared" si="764"/>
        <v>#NAME?</v>
      </c>
      <c r="Z114" t="e">
        <f t="shared" si="756"/>
        <v>#NAME?</v>
      </c>
      <c r="AA114" t="e">
        <f t="shared" si="757"/>
        <v>#NAME?</v>
      </c>
      <c r="AC114">
        <f t="shared" si="760"/>
        <v>24</v>
      </c>
      <c r="AD114">
        <f t="shared" si="765"/>
        <v>6.5360988797573896</v>
      </c>
    </row>
    <row r="115">
      <c r="U115" s="14">
        <f t="shared" si="763"/>
        <v>25</v>
      </c>
      <c r="V115" s="14"/>
      <c r="W115" s="14"/>
      <c r="X115" s="14">
        <f>SUMPRODUCT(X112:X114,I91:I93)</f>
        <v>6.3943229192071502</v>
      </c>
      <c r="Y115" s="14" t="e">
        <f t="shared" si="764"/>
        <v>#NAME?</v>
      </c>
      <c r="Z115" s="14" t="e">
        <f t="shared" si="756"/>
        <v>#NAME?</v>
      </c>
      <c r="AA115" s="14" t="e">
        <f t="shared" si="757"/>
        <v>#NAME?</v>
      </c>
      <c r="AC115" s="14">
        <f t="shared" si="760"/>
        <v>25</v>
      </c>
      <c r="AD115" s="14">
        <f t="shared" si="765"/>
        <v>6.3943229192071502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7232139999999996"/>
    <col customWidth="1" min="4" max="4" width="3.1785709999999998"/>
  </cols>
  <sheetData>
    <row r="1">
      <c r="A1" s="1" t="s">
        <v>513</v>
      </c>
    </row>
    <row r="2">
      <c r="A2" s="1"/>
    </row>
    <row r="3">
      <c r="B3" s="4" t="s">
        <v>342</v>
      </c>
      <c r="C3" s="4" t="s">
        <v>343</v>
      </c>
    </row>
    <row r="4">
      <c r="A4">
        <v>1</v>
      </c>
      <c r="B4">
        <v>-0.69420091468668932</v>
      </c>
    </row>
    <row r="5">
      <c r="A5">
        <f t="shared" ref="A5:A10" si="766">A4+1</f>
        <v>2</v>
      </c>
      <c r="B5">
        <v>-0.87558778428873507</v>
      </c>
      <c r="C5">
        <f t="shared" ref="C5:C9" si="767">4+B5+0.5*B4</f>
        <v>2.7773117583679299</v>
      </c>
    </row>
    <row r="6">
      <c r="A6">
        <f t="shared" si="766"/>
        <v>3</v>
      </c>
      <c r="B6">
        <v>-0.74392130947938684</v>
      </c>
      <c r="C6">
        <f t="shared" si="767"/>
        <v>2.81828479837624</v>
      </c>
    </row>
    <row r="7">
      <c r="A7">
        <f t="shared" si="766"/>
        <v>4</v>
      </c>
      <c r="B7">
        <v>3.0728091528421637</v>
      </c>
      <c r="C7">
        <f t="shared" si="767"/>
        <v>6.7008484981024701</v>
      </c>
    </row>
    <row r="8">
      <c r="A8">
        <f t="shared" si="766"/>
        <v>5</v>
      </c>
      <c r="B8">
        <v>-1.9419373719738628</v>
      </c>
      <c r="C8">
        <f t="shared" si="767"/>
        <v>3.5944672044472199</v>
      </c>
    </row>
    <row r="9">
      <c r="A9">
        <f t="shared" si="766"/>
        <v>6</v>
      </c>
      <c r="B9">
        <v>-1.7296502884778595</v>
      </c>
      <c r="C9">
        <f t="shared" si="767"/>
        <v>1.2993810255352101</v>
      </c>
    </row>
    <row r="10">
      <c r="A10">
        <f t="shared" si="766"/>
        <v>7</v>
      </c>
      <c r="B10">
        <v>2.1964877398152103</v>
      </c>
      <c r="C10">
        <f>4+B10+0.5*B9</f>
        <v>5.3316625955762804</v>
      </c>
    </row>
    <row r="11">
      <c r="A11">
        <f t="shared" ref="A11:A74" si="768">A10+1</f>
        <v>8</v>
      </c>
      <c r="B11">
        <v>-3.6212692123216481</v>
      </c>
      <c r="C11">
        <f t="shared" ref="C11:C74" si="769">4+B11+0.5*B10</f>
        <v>1.4769746575859599</v>
      </c>
    </row>
    <row r="12">
      <c r="A12">
        <f t="shared" si="768"/>
        <v>9</v>
      </c>
      <c r="B12">
        <v>-0.73537045424691472</v>
      </c>
      <c r="C12">
        <f t="shared" si="769"/>
        <v>1.45399493959226</v>
      </c>
    </row>
    <row r="13">
      <c r="A13">
        <f t="shared" si="768"/>
        <v>10</v>
      </c>
      <c r="B13">
        <v>-2.3965548844576574</v>
      </c>
      <c r="C13">
        <f t="shared" si="769"/>
        <v>1.2357598884188801</v>
      </c>
    </row>
    <row r="14">
      <c r="A14">
        <f t="shared" si="768"/>
        <v>11</v>
      </c>
      <c r="B14">
        <v>-0.75072452984709093</v>
      </c>
      <c r="C14">
        <f t="shared" si="769"/>
        <v>2.0509980279240798</v>
      </c>
    </row>
    <row r="15">
      <c r="A15">
        <f t="shared" si="768"/>
        <v>12</v>
      </c>
      <c r="B15">
        <v>0.51621828199445963</v>
      </c>
      <c r="C15">
        <f t="shared" si="769"/>
        <v>4.1408560170709103</v>
      </c>
    </row>
    <row r="16">
      <c r="A16">
        <f t="shared" si="768"/>
        <v>13</v>
      </c>
      <c r="B16">
        <v>1.857550407661875</v>
      </c>
      <c r="C16">
        <f t="shared" si="769"/>
        <v>6.1156595486591101</v>
      </c>
    </row>
    <row r="17">
      <c r="A17">
        <f t="shared" si="768"/>
        <v>14</v>
      </c>
      <c r="B17">
        <v>1.8555028839107321</v>
      </c>
      <c r="C17">
        <f t="shared" si="769"/>
        <v>6.7842780877416704</v>
      </c>
    </row>
    <row r="18">
      <c r="A18">
        <f t="shared" si="768"/>
        <v>15</v>
      </c>
      <c r="B18">
        <v>-1.0084510887843623</v>
      </c>
      <c r="C18">
        <f t="shared" si="769"/>
        <v>3.91930035317101</v>
      </c>
    </row>
    <row r="19">
      <c r="A19">
        <f t="shared" si="768"/>
        <v>16</v>
      </c>
      <c r="B19">
        <v>1.4960391755868736</v>
      </c>
      <c r="C19">
        <f t="shared" si="769"/>
        <v>4.9918136311946899</v>
      </c>
      <c r="F19" s="54" t="s">
        <v>433</v>
      </c>
      <c r="G19" s="7">
        <v>4</v>
      </c>
      <c r="I19" s="54" t="s">
        <v>434</v>
      </c>
      <c r="J19" s="7">
        <f>AVERAGE(C5:C203)</f>
        <v>4.3584220285563804</v>
      </c>
    </row>
    <row r="20" ht="15" customHeight="1">
      <c r="A20">
        <f t="shared" si="768"/>
        <v>17</v>
      </c>
      <c r="B20">
        <v>-0.40039667282690755</v>
      </c>
      <c r="C20">
        <f t="shared" si="769"/>
        <v>4.3476229149665304</v>
      </c>
      <c r="F20" s="54" t="s">
        <v>435</v>
      </c>
      <c r="G20" s="13">
        <f>2^2*(1+0.5^2)</f>
        <v>5</v>
      </c>
      <c r="I20" s="54" t="s">
        <v>436</v>
      </c>
      <c r="J20" s="13">
        <f>VARP(C5:C203)</f>
        <v>4.4401724486229304</v>
      </c>
    </row>
    <row r="21" ht="15" customHeight="1">
      <c r="A21">
        <f t="shared" si="768"/>
        <v>18</v>
      </c>
      <c r="B21">
        <v>-2.1659297760239777</v>
      </c>
      <c r="C21">
        <f t="shared" si="769"/>
        <v>1.63387188756257</v>
      </c>
    </row>
    <row r="22">
      <c r="A22">
        <f t="shared" si="768"/>
        <v>19</v>
      </c>
      <c r="B22">
        <v>1.265945750690491</v>
      </c>
      <c r="C22">
        <f t="shared" si="769"/>
        <v>4.1829808626784999</v>
      </c>
    </row>
    <row r="23">
      <c r="A23">
        <f t="shared" si="768"/>
        <v>20</v>
      </c>
      <c r="B23">
        <v>1.3803624088083266</v>
      </c>
      <c r="C23">
        <f t="shared" si="769"/>
        <v>6.0133352841535803</v>
      </c>
    </row>
    <row r="24">
      <c r="A24">
        <f t="shared" si="768"/>
        <v>21</v>
      </c>
      <c r="B24">
        <v>-0.6899420173245624</v>
      </c>
      <c r="C24">
        <f t="shared" si="769"/>
        <v>4.0002391870796101</v>
      </c>
    </row>
    <row r="25">
      <c r="A25">
        <f t="shared" si="768"/>
        <v>22</v>
      </c>
      <c r="B25">
        <v>-0.60723301719649769</v>
      </c>
      <c r="C25">
        <f t="shared" si="769"/>
        <v>3.0477959741412199</v>
      </c>
    </row>
    <row r="26">
      <c r="A26">
        <f t="shared" si="768"/>
        <v>23</v>
      </c>
      <c r="B26">
        <v>0.43319896792900731</v>
      </c>
      <c r="C26">
        <f t="shared" si="769"/>
        <v>4.1295824593307602</v>
      </c>
    </row>
    <row r="27">
      <c r="A27">
        <f t="shared" si="768"/>
        <v>24</v>
      </c>
      <c r="B27">
        <v>-0.77726215348466687</v>
      </c>
      <c r="C27">
        <f t="shared" si="769"/>
        <v>3.4393373304798298</v>
      </c>
    </row>
    <row r="28">
      <c r="A28">
        <f t="shared" si="768"/>
        <v>25</v>
      </c>
      <c r="B28">
        <v>-1.8164843165145284</v>
      </c>
      <c r="C28">
        <f t="shared" si="769"/>
        <v>1.7948846067431401</v>
      </c>
    </row>
    <row r="29">
      <c r="A29">
        <f t="shared" si="768"/>
        <v>26</v>
      </c>
      <c r="B29">
        <v>2.3362010307127998</v>
      </c>
      <c r="C29">
        <f t="shared" si="769"/>
        <v>5.4279588724555401</v>
      </c>
    </row>
    <row r="30">
      <c r="A30">
        <f t="shared" si="768"/>
        <v>27</v>
      </c>
      <c r="B30">
        <v>0.53940757415645246</v>
      </c>
      <c r="C30">
        <f t="shared" si="769"/>
        <v>5.7075080895128503</v>
      </c>
    </row>
    <row r="31">
      <c r="A31">
        <f t="shared" si="768"/>
        <v>28</v>
      </c>
      <c r="B31">
        <v>-4.4049614316555991e-02</v>
      </c>
      <c r="C31">
        <f t="shared" si="769"/>
        <v>4.2256541727616703</v>
      </c>
    </row>
    <row r="32">
      <c r="A32">
        <f t="shared" si="768"/>
        <v>29</v>
      </c>
      <c r="B32">
        <v>2.3057581413476544</v>
      </c>
      <c r="C32">
        <f t="shared" si="769"/>
        <v>6.2837333341893702</v>
      </c>
    </row>
    <row r="33">
      <c r="A33">
        <f t="shared" si="768"/>
        <v>30</v>
      </c>
      <c r="B33">
        <v>4.4245912408273673</v>
      </c>
      <c r="C33">
        <f t="shared" si="769"/>
        <v>9.5774703115011999</v>
      </c>
    </row>
    <row r="34">
      <c r="A34">
        <f t="shared" si="768"/>
        <v>31</v>
      </c>
      <c r="B34">
        <v>-0.87761234660300036</v>
      </c>
      <c r="C34">
        <f t="shared" si="769"/>
        <v>5.3346832738106897</v>
      </c>
    </row>
    <row r="35">
      <c r="A35">
        <f t="shared" si="768"/>
        <v>32</v>
      </c>
      <c r="B35">
        <v>-8.9411512738627741e-02</v>
      </c>
      <c r="C35">
        <f t="shared" si="769"/>
        <v>3.4717823139598698</v>
      </c>
    </row>
    <row r="36">
      <c r="A36">
        <f t="shared" si="768"/>
        <v>33</v>
      </c>
      <c r="B36">
        <v>1.3116096495739089</v>
      </c>
      <c r="C36">
        <f t="shared" si="769"/>
        <v>5.2669038932046002</v>
      </c>
    </row>
    <row r="37">
      <c r="A37">
        <f t="shared" si="768"/>
        <v>34</v>
      </c>
      <c r="B37">
        <v>-5.7407753840039939e-02</v>
      </c>
      <c r="C37">
        <f t="shared" si="769"/>
        <v>4.5983970709469197</v>
      </c>
    </row>
    <row r="38">
      <c r="A38">
        <f t="shared" si="768"/>
        <v>35</v>
      </c>
      <c r="B38">
        <v>-0.23005134035884045</v>
      </c>
      <c r="C38">
        <f t="shared" si="769"/>
        <v>3.7412447827211399</v>
      </c>
    </row>
    <row r="39">
      <c r="A39">
        <f t="shared" si="768"/>
        <v>36</v>
      </c>
      <c r="B39">
        <v>0.57825656951370696</v>
      </c>
      <c r="C39">
        <f t="shared" si="769"/>
        <v>4.46323089933429</v>
      </c>
    </row>
    <row r="40">
      <c r="A40">
        <f t="shared" si="768"/>
        <v>37</v>
      </c>
      <c r="B40">
        <v>-2.6169621132803687</v>
      </c>
      <c r="C40">
        <f t="shared" si="769"/>
        <v>1.6721661714764799</v>
      </c>
    </row>
    <row r="41">
      <c r="A41">
        <f t="shared" si="768"/>
        <v>38</v>
      </c>
      <c r="B41">
        <v>-2.4905726166394642</v>
      </c>
      <c r="C41">
        <f t="shared" si="769"/>
        <v>0.20094632672035001</v>
      </c>
    </row>
    <row r="42">
      <c r="A42">
        <f t="shared" si="768"/>
        <v>39</v>
      </c>
      <c r="B42">
        <v>0.5869249825884717</v>
      </c>
      <c r="C42">
        <f t="shared" si="769"/>
        <v>3.3416386742687401</v>
      </c>
    </row>
    <row r="43">
      <c r="A43">
        <f t="shared" si="768"/>
        <v>40</v>
      </c>
      <c r="B43">
        <v>-0.81234505881972496</v>
      </c>
      <c r="C43">
        <f t="shared" si="769"/>
        <v>3.48111743247452</v>
      </c>
    </row>
    <row r="44">
      <c r="A44">
        <f t="shared" si="768"/>
        <v>41</v>
      </c>
      <c r="B44">
        <v>2.0037975662623024</v>
      </c>
      <c r="C44">
        <f t="shared" si="769"/>
        <v>5.5976250368524401</v>
      </c>
    </row>
    <row r="45">
      <c r="A45">
        <f t="shared" si="768"/>
        <v>42</v>
      </c>
      <c r="B45">
        <v>3.8424720915805448</v>
      </c>
      <c r="C45">
        <f t="shared" si="769"/>
        <v>8.8443708747117</v>
      </c>
    </row>
    <row r="46">
      <c r="A46">
        <f t="shared" si="768"/>
        <v>43</v>
      </c>
      <c r="B46">
        <v>0.32596170386742068</v>
      </c>
      <c r="C46">
        <f t="shared" si="769"/>
        <v>6.2471977496577002</v>
      </c>
    </row>
    <row r="47">
      <c r="A47">
        <f t="shared" si="768"/>
        <v>44</v>
      </c>
      <c r="B47">
        <v>0.87008659160246826</v>
      </c>
      <c r="C47">
        <f t="shared" si="769"/>
        <v>5.0330674435361802</v>
      </c>
    </row>
    <row r="48">
      <c r="A48">
        <f t="shared" si="768"/>
        <v>45</v>
      </c>
      <c r="B48">
        <v>-0.36537031831069855</v>
      </c>
      <c r="C48">
        <f t="shared" si="769"/>
        <v>4.06967297749053</v>
      </c>
    </row>
    <row r="49">
      <c r="A49">
        <f t="shared" si="768"/>
        <v>46</v>
      </c>
      <c r="B49">
        <v>-1.4235386617346899</v>
      </c>
      <c r="C49">
        <f t="shared" si="769"/>
        <v>2.3937761791099601</v>
      </c>
    </row>
    <row r="50">
      <c r="A50">
        <f t="shared" si="768"/>
        <v>47</v>
      </c>
      <c r="B50">
        <v>2.5046237445473025</v>
      </c>
      <c r="C50">
        <f t="shared" si="769"/>
        <v>5.7928544136799598</v>
      </c>
    </row>
    <row r="51">
      <c r="A51">
        <f t="shared" si="768"/>
        <v>48</v>
      </c>
      <c r="B51">
        <v>0.99722248777568656</v>
      </c>
      <c r="C51">
        <f t="shared" si="769"/>
        <v>6.2495343600493403</v>
      </c>
    </row>
    <row r="52">
      <c r="A52">
        <f t="shared" si="768"/>
        <v>49</v>
      </c>
      <c r="B52">
        <v>-0.27654238324895269</v>
      </c>
      <c r="C52">
        <f t="shared" si="769"/>
        <v>4.2220688606388901</v>
      </c>
    </row>
    <row r="53">
      <c r="A53">
        <f t="shared" si="768"/>
        <v>50</v>
      </c>
      <c r="B53">
        <v>1.5856114065285145</v>
      </c>
      <c r="C53">
        <f t="shared" si="769"/>
        <v>5.4473402149040302</v>
      </c>
    </row>
    <row r="54">
      <c r="A54">
        <f t="shared" si="768"/>
        <v>51</v>
      </c>
      <c r="B54">
        <v>0.20961962024818881</v>
      </c>
      <c r="C54">
        <f t="shared" si="769"/>
        <v>5.0024253235124503</v>
      </c>
    </row>
    <row r="55">
      <c r="A55">
        <f t="shared" si="768"/>
        <v>52</v>
      </c>
      <c r="B55">
        <v>1.5484203037498829</v>
      </c>
      <c r="C55">
        <f t="shared" si="769"/>
        <v>5.6532301138739802</v>
      </c>
    </row>
    <row r="56">
      <c r="A56">
        <f t="shared" si="768"/>
        <v>53</v>
      </c>
      <c r="B56">
        <v>-0.92826506819668642</v>
      </c>
      <c r="C56">
        <f t="shared" si="769"/>
        <v>3.8459450836782501</v>
      </c>
    </row>
    <row r="57">
      <c r="A57">
        <f t="shared" si="768"/>
        <v>54</v>
      </c>
      <c r="B57">
        <v>3.9340990778615104</v>
      </c>
      <c r="C57">
        <f t="shared" si="769"/>
        <v>7.4699665437631699</v>
      </c>
    </row>
    <row r="58">
      <c r="A58">
        <f t="shared" si="768"/>
        <v>55</v>
      </c>
      <c r="B58">
        <v>-1.6344170686105273</v>
      </c>
      <c r="C58">
        <f t="shared" si="769"/>
        <v>4.3326324703202301</v>
      </c>
    </row>
    <row r="59">
      <c r="A59">
        <f t="shared" si="768"/>
        <v>56</v>
      </c>
      <c r="B59">
        <v>-0.63481749081468575</v>
      </c>
      <c r="C59">
        <f t="shared" si="769"/>
        <v>2.5479739748800498</v>
      </c>
    </row>
    <row r="60">
      <c r="A60">
        <f t="shared" si="768"/>
        <v>57</v>
      </c>
      <c r="B60">
        <v>1.0198933639943912</v>
      </c>
      <c r="C60">
        <f t="shared" si="769"/>
        <v>4.7024846185870501</v>
      </c>
    </row>
    <row r="61">
      <c r="A61">
        <f t="shared" si="768"/>
        <v>58</v>
      </c>
      <c r="B61">
        <v>1.2294417712870718</v>
      </c>
      <c r="C61">
        <f t="shared" si="769"/>
        <v>5.7393884532842696</v>
      </c>
    </row>
    <row r="62">
      <c r="A62">
        <f t="shared" si="768"/>
        <v>59</v>
      </c>
      <c r="B62">
        <v>3.2987612286636145</v>
      </c>
      <c r="C62">
        <f t="shared" si="769"/>
        <v>7.9134821143071497</v>
      </c>
    </row>
    <row r="63">
      <c r="A63">
        <f t="shared" si="768"/>
        <v>60</v>
      </c>
      <c r="B63">
        <v>0.64413182867804242</v>
      </c>
      <c r="C63">
        <f t="shared" si="769"/>
        <v>6.2935124430098499</v>
      </c>
    </row>
    <row r="64">
      <c r="A64">
        <f t="shared" si="768"/>
        <v>61</v>
      </c>
      <c r="B64">
        <v>-5.96350910370659e-02</v>
      </c>
      <c r="C64">
        <f t="shared" si="769"/>
        <v>4.2624308233019503</v>
      </c>
    </row>
    <row r="65">
      <c r="A65">
        <f t="shared" si="768"/>
        <v>62</v>
      </c>
      <c r="B65">
        <v>3.1563169379344984</v>
      </c>
      <c r="C65">
        <f t="shared" si="769"/>
        <v>7.1264993924159699</v>
      </c>
    </row>
    <row r="66">
      <c r="A66">
        <f t="shared" si="768"/>
        <v>63</v>
      </c>
      <c r="B66">
        <v>-2.306240088032308</v>
      </c>
      <c r="C66">
        <f t="shared" si="769"/>
        <v>3.2719183809349399</v>
      </c>
    </row>
    <row r="67">
      <c r="A67">
        <f t="shared" si="768"/>
        <v>64</v>
      </c>
      <c r="B67">
        <v>-0.4021885704054472</v>
      </c>
      <c r="C67">
        <f t="shared" si="769"/>
        <v>2.4446913855783898</v>
      </c>
    </row>
    <row r="68">
      <c r="A68">
        <f t="shared" si="768"/>
        <v>65</v>
      </c>
      <c r="B68">
        <v>-0.52759380307616421</v>
      </c>
      <c r="C68">
        <f t="shared" si="769"/>
        <v>3.2713119117211198</v>
      </c>
    </row>
    <row r="69">
      <c r="A69">
        <f t="shared" si="768"/>
        <v>66</v>
      </c>
      <c r="B69">
        <v>0.90554286799405381</v>
      </c>
      <c r="C69">
        <f t="shared" si="769"/>
        <v>4.6417459664559697</v>
      </c>
    </row>
    <row r="70">
      <c r="A70">
        <f t="shared" si="768"/>
        <v>67</v>
      </c>
      <c r="B70">
        <v>1.4839149021568461</v>
      </c>
      <c r="C70">
        <f t="shared" si="769"/>
        <v>5.9366863361538798</v>
      </c>
    </row>
    <row r="71">
      <c r="A71">
        <f t="shared" si="768"/>
        <v>68</v>
      </c>
      <c r="B71">
        <v>-0.26026620501782682</v>
      </c>
      <c r="C71">
        <f t="shared" si="769"/>
        <v>4.4816912460606</v>
      </c>
    </row>
    <row r="72">
      <c r="A72">
        <f t="shared" si="768"/>
        <v>69</v>
      </c>
      <c r="B72">
        <v>-3.3625596460355449e-02</v>
      </c>
      <c r="C72">
        <f t="shared" si="769"/>
        <v>3.8362413010307401</v>
      </c>
    </row>
    <row r="73">
      <c r="A73">
        <f t="shared" si="768"/>
        <v>70</v>
      </c>
      <c r="B73">
        <v>0.68794647636347028</v>
      </c>
      <c r="C73">
        <f t="shared" si="769"/>
        <v>4.6711336781332902</v>
      </c>
    </row>
    <row r="74">
      <c r="A74">
        <f t="shared" si="768"/>
        <v>71</v>
      </c>
      <c r="B74">
        <v>4.1362425453436655</v>
      </c>
      <c r="C74">
        <f t="shared" si="769"/>
        <v>8.4802157835254093</v>
      </c>
    </row>
    <row r="75">
      <c r="A75">
        <f t="shared" ref="A75:A100" si="770">A74+1</f>
        <v>72</v>
      </c>
      <c r="B75">
        <v>0.45211454533455148</v>
      </c>
      <c r="C75">
        <f t="shared" ref="C75:C99" si="771">4+B75+0.5*B74</f>
        <v>6.5202358180063902</v>
      </c>
    </row>
    <row r="76">
      <c r="A76">
        <f t="shared" si="770"/>
        <v>73</v>
      </c>
      <c r="B76">
        <v>1.1252631017477928</v>
      </c>
      <c r="C76">
        <f t="shared" si="771"/>
        <v>5.3513203744150699</v>
      </c>
    </row>
    <row r="77">
      <c r="A77">
        <f t="shared" si="770"/>
        <v>74</v>
      </c>
      <c r="B77">
        <v>2.0132078825187141</v>
      </c>
      <c r="C77">
        <f t="shared" si="771"/>
        <v>6.57583943339261</v>
      </c>
    </row>
    <row r="78">
      <c r="A78">
        <f t="shared" si="770"/>
        <v>75</v>
      </c>
      <c r="B78">
        <v>0.97866440297732316</v>
      </c>
      <c r="C78">
        <f t="shared" si="771"/>
        <v>5.9852683442366796</v>
      </c>
    </row>
    <row r="79">
      <c r="A79">
        <f t="shared" si="770"/>
        <v>76</v>
      </c>
      <c r="B79">
        <v>1.9269932557537806</v>
      </c>
      <c r="C79">
        <f t="shared" si="771"/>
        <v>6.41632545724244</v>
      </c>
    </row>
    <row r="80">
      <c r="A80">
        <f t="shared" si="770"/>
        <v>77</v>
      </c>
      <c r="B80">
        <v>-2.3180276622927738</v>
      </c>
      <c r="C80">
        <f t="shared" si="771"/>
        <v>2.6454689655841199</v>
      </c>
    </row>
    <row r="81">
      <c r="A81">
        <f t="shared" si="770"/>
        <v>78</v>
      </c>
      <c r="B81">
        <v>-0.91963460540494268</v>
      </c>
      <c r="C81">
        <f t="shared" si="771"/>
        <v>1.92135156344867</v>
      </c>
    </row>
    <row r="82">
      <c r="A82">
        <f t="shared" si="770"/>
        <v>79</v>
      </c>
      <c r="B82">
        <v>2.9426927083491106</v>
      </c>
      <c r="C82">
        <f t="shared" si="771"/>
        <v>6.4828754056466398</v>
      </c>
    </row>
    <row r="83">
      <c r="A83">
        <f t="shared" si="770"/>
        <v>80</v>
      </c>
      <c r="B83">
        <v>1.019377953576635</v>
      </c>
      <c r="C83">
        <f t="shared" si="771"/>
        <v>6.4907243077511998</v>
      </c>
    </row>
    <row r="84">
      <c r="A84">
        <f t="shared" si="770"/>
        <v>81</v>
      </c>
      <c r="B84">
        <v>1.6847808127539263</v>
      </c>
      <c r="C84">
        <f t="shared" si="771"/>
        <v>6.19446978954225</v>
      </c>
    </row>
    <row r="85">
      <c r="A85">
        <f t="shared" si="770"/>
        <v>82</v>
      </c>
      <c r="B85">
        <v>-2.8579362242959387</v>
      </c>
      <c r="C85">
        <f t="shared" si="771"/>
        <v>1.98445418208103</v>
      </c>
    </row>
    <row r="86">
      <c r="A86">
        <f t="shared" si="770"/>
        <v>83</v>
      </c>
      <c r="B86">
        <v>-4.613725323851007</v>
      </c>
      <c r="C86">
        <f t="shared" si="771"/>
        <v>-2.0426934359989799</v>
      </c>
    </row>
    <row r="87">
      <c r="A87">
        <f t="shared" si="770"/>
        <v>84</v>
      </c>
      <c r="B87">
        <v>3.5477982444532903</v>
      </c>
      <c r="C87">
        <f t="shared" si="771"/>
        <v>5.2409355825277801</v>
      </c>
    </row>
    <row r="88">
      <c r="A88">
        <f t="shared" si="770"/>
        <v>85</v>
      </c>
      <c r="B88">
        <v>0.97853828339675197</v>
      </c>
      <c r="C88">
        <f t="shared" si="771"/>
        <v>6.7524374056234002</v>
      </c>
    </row>
    <row r="89">
      <c r="A89">
        <f t="shared" si="770"/>
        <v>86</v>
      </c>
      <c r="B89">
        <v>-2.838830967052405</v>
      </c>
      <c r="C89">
        <f t="shared" si="771"/>
        <v>1.65043817464597</v>
      </c>
    </row>
    <row r="90">
      <c r="A90">
        <f t="shared" si="770"/>
        <v>87</v>
      </c>
      <c r="B90">
        <v>0.34123210128753367</v>
      </c>
      <c r="C90">
        <f t="shared" si="771"/>
        <v>2.9218166177613201</v>
      </c>
    </row>
    <row r="91">
      <c r="A91">
        <f t="shared" si="770"/>
        <v>88</v>
      </c>
      <c r="B91">
        <v>1.5246885661775635</v>
      </c>
      <c r="C91">
        <f t="shared" si="771"/>
        <v>5.6953046168213302</v>
      </c>
    </row>
    <row r="92">
      <c r="A92">
        <f t="shared" si="770"/>
        <v>89</v>
      </c>
      <c r="B92">
        <v>0.16292493668327629</v>
      </c>
      <c r="C92">
        <f t="shared" si="771"/>
        <v>4.9252692197720602</v>
      </c>
    </row>
    <row r="93">
      <c r="A93">
        <f t="shared" si="770"/>
        <v>90</v>
      </c>
      <c r="B93">
        <v>-1.7796863231619184</v>
      </c>
      <c r="C93">
        <f t="shared" si="771"/>
        <v>2.3017761451797201</v>
      </c>
    </row>
    <row r="94">
      <c r="A94">
        <f t="shared" si="770"/>
        <v>91</v>
      </c>
      <c r="B94">
        <v>-1.3228790100716219</v>
      </c>
      <c r="C94">
        <f t="shared" si="771"/>
        <v>1.78727782834742</v>
      </c>
    </row>
    <row r="95">
      <c r="A95">
        <f t="shared" si="770"/>
        <v>92</v>
      </c>
      <c r="B95">
        <v>2.080778396870429</v>
      </c>
      <c r="C95">
        <f t="shared" si="771"/>
        <v>5.4193388918346201</v>
      </c>
    </row>
    <row r="96">
      <c r="A96">
        <f t="shared" si="770"/>
        <v>93</v>
      </c>
      <c r="B96">
        <v>-2.2197549924019668</v>
      </c>
      <c r="C96">
        <f t="shared" si="771"/>
        <v>2.8206342060332501</v>
      </c>
    </row>
    <row r="97">
      <c r="A97">
        <f t="shared" si="770"/>
        <v>94</v>
      </c>
      <c r="B97">
        <v>0.90609105867690243</v>
      </c>
      <c r="C97">
        <f t="shared" si="771"/>
        <v>3.7962135624759101</v>
      </c>
    </row>
    <row r="98">
      <c r="A98">
        <f t="shared" si="770"/>
        <v>95</v>
      </c>
      <c r="B98">
        <v>1.7045878815396458</v>
      </c>
      <c r="C98">
        <f t="shared" si="771"/>
        <v>6.1576334108781001</v>
      </c>
    </row>
    <row r="99">
      <c r="A99">
        <f t="shared" si="770"/>
        <v>96</v>
      </c>
      <c r="B99">
        <v>-1.8927044624652218</v>
      </c>
      <c r="C99">
        <f t="shared" si="771"/>
        <v>2.9595894783046099</v>
      </c>
    </row>
    <row r="100">
      <c r="A100">
        <f t="shared" si="770"/>
        <v>97</v>
      </c>
      <c r="B100">
        <v>-3.0190432616494278</v>
      </c>
      <c r="C100">
        <f>4+B100+0.5*B99</f>
        <v>3.4604507117960009e-02</v>
      </c>
    </row>
    <row r="101">
      <c r="A101">
        <f t="shared" ref="A101:A164" si="772">A100+1</f>
        <v>98</v>
      </c>
      <c r="B101">
        <v>-0.38493372959890088</v>
      </c>
      <c r="C101">
        <f t="shared" ref="C101:C164" si="773">4+B101+0.5*B100</f>
        <v>2.1055446395763799</v>
      </c>
    </row>
    <row r="102">
      <c r="A102">
        <f t="shared" si="772"/>
        <v>99</v>
      </c>
      <c r="B102">
        <v>2.4144439404005369</v>
      </c>
      <c r="C102">
        <f t="shared" si="773"/>
        <v>6.2219770756010897</v>
      </c>
    </row>
    <row r="103">
      <c r="A103">
        <f t="shared" si="772"/>
        <v>100</v>
      </c>
      <c r="B103">
        <v>-1.8267656438809119</v>
      </c>
      <c r="C103">
        <f t="shared" si="773"/>
        <v>3.3804563263193601</v>
      </c>
    </row>
    <row r="104">
      <c r="A104">
        <f t="shared" si="772"/>
        <v>101</v>
      </c>
      <c r="B104">
        <v>-4.6720387536128962</v>
      </c>
      <c r="C104">
        <f t="shared" si="773"/>
        <v>-1.5854215755533601</v>
      </c>
    </row>
    <row r="105">
      <c r="A105">
        <f t="shared" si="772"/>
        <v>102</v>
      </c>
      <c r="B105">
        <v>-0.67969721022420559</v>
      </c>
      <c r="C105">
        <f t="shared" si="773"/>
        <v>0.98428341296933985</v>
      </c>
    </row>
    <row r="106">
      <c r="A106">
        <f t="shared" si="772"/>
        <v>103</v>
      </c>
      <c r="B106">
        <v>1.0235786471187305</v>
      </c>
      <c r="C106">
        <f t="shared" si="773"/>
        <v>4.6837300420066299</v>
      </c>
    </row>
    <row r="107">
      <c r="A107">
        <f t="shared" si="772"/>
        <v>104</v>
      </c>
      <c r="B107">
        <v>2.327447608275897</v>
      </c>
      <c r="C107">
        <f t="shared" si="773"/>
        <v>6.8392369318352699</v>
      </c>
    </row>
    <row r="108">
      <c r="A108">
        <f t="shared" si="772"/>
        <v>105</v>
      </c>
      <c r="B108">
        <v>1.0316260251136307</v>
      </c>
      <c r="C108">
        <f t="shared" si="773"/>
        <v>6.1953498292515796</v>
      </c>
    </row>
    <row r="109">
      <c r="A109">
        <f t="shared" si="772"/>
        <v>106</v>
      </c>
      <c r="B109">
        <v>-1.2512099401749279</v>
      </c>
      <c r="C109">
        <f t="shared" si="773"/>
        <v>3.26460307238189</v>
      </c>
    </row>
    <row r="110">
      <c r="A110">
        <f t="shared" si="772"/>
        <v>107</v>
      </c>
      <c r="B110">
        <v>0.10921803350296348</v>
      </c>
      <c r="C110">
        <f t="shared" si="773"/>
        <v>3.4836130634155098</v>
      </c>
    </row>
    <row r="111">
      <c r="A111">
        <f t="shared" si="772"/>
        <v>108</v>
      </c>
      <c r="B111">
        <v>2.4070936899250017</v>
      </c>
      <c r="C111">
        <f t="shared" si="773"/>
        <v>6.4617027066764798</v>
      </c>
    </row>
    <row r="112">
      <c r="A112">
        <f t="shared" si="772"/>
        <v>109</v>
      </c>
      <c r="B112">
        <v>0.53299160907781618</v>
      </c>
      <c r="C112">
        <f t="shared" si="773"/>
        <v>5.7365384540403204</v>
      </c>
    </row>
    <row r="113">
      <c r="A113">
        <f t="shared" si="772"/>
        <v>110</v>
      </c>
      <c r="B113">
        <v>1.9257606977912869</v>
      </c>
      <c r="C113">
        <f t="shared" si="773"/>
        <v>6.1922565023302001</v>
      </c>
    </row>
    <row r="114">
      <c r="A114">
        <f t="shared" si="772"/>
        <v>111</v>
      </c>
      <c r="B114">
        <v>0.54030589728212797</v>
      </c>
      <c r="C114">
        <f t="shared" si="773"/>
        <v>5.5031862461777799</v>
      </c>
    </row>
    <row r="115">
      <c r="A115">
        <f t="shared" si="772"/>
        <v>112</v>
      </c>
      <c r="B115">
        <v>-0.11988049646136403</v>
      </c>
      <c r="C115">
        <f t="shared" si="773"/>
        <v>4.1502724521797099</v>
      </c>
    </row>
    <row r="116">
      <c r="A116">
        <f t="shared" si="772"/>
        <v>113</v>
      </c>
      <c r="B116">
        <v>-1.1086237225183357</v>
      </c>
      <c r="C116">
        <f t="shared" si="773"/>
        <v>2.8314360292509799</v>
      </c>
    </row>
    <row r="117">
      <c r="A117">
        <f t="shared" si="772"/>
        <v>114</v>
      </c>
      <c r="B117">
        <v>-0.73079447698851874</v>
      </c>
      <c r="C117">
        <f t="shared" si="773"/>
        <v>2.7148936617523098</v>
      </c>
    </row>
    <row r="118">
      <c r="A118">
        <f t="shared" si="772"/>
        <v>115</v>
      </c>
      <c r="B118">
        <v>-0.26398126148652912</v>
      </c>
      <c r="C118">
        <f t="shared" si="773"/>
        <v>3.3706215000192099</v>
      </c>
    </row>
    <row r="119">
      <c r="A119">
        <f t="shared" si="772"/>
        <v>116</v>
      </c>
      <c r="B119">
        <v>-0.69838242135073392</v>
      </c>
      <c r="C119">
        <f t="shared" si="773"/>
        <v>3.1696269479060102</v>
      </c>
    </row>
    <row r="120">
      <c r="A120">
        <f t="shared" si="772"/>
        <v>117</v>
      </c>
      <c r="B120">
        <v>9.8942406605733099e-02</v>
      </c>
      <c r="C120">
        <f t="shared" si="773"/>
        <v>3.7497511959303602</v>
      </c>
    </row>
    <row r="121">
      <c r="A121">
        <f t="shared" si="772"/>
        <v>118</v>
      </c>
      <c r="B121">
        <v>1.5426608666299271</v>
      </c>
      <c r="C121">
        <f t="shared" si="773"/>
        <v>5.5921320699328003</v>
      </c>
    </row>
    <row r="122">
      <c r="A122">
        <f t="shared" si="772"/>
        <v>119</v>
      </c>
      <c r="B122">
        <v>2.8236106327357645e-02</v>
      </c>
      <c r="C122">
        <f t="shared" si="773"/>
        <v>4.7995665396423304</v>
      </c>
    </row>
    <row r="123">
      <c r="A123">
        <f t="shared" si="772"/>
        <v>120</v>
      </c>
      <c r="B123">
        <v>3.7298519177469367</v>
      </c>
      <c r="C123">
        <f t="shared" si="773"/>
        <v>7.7439699709106202</v>
      </c>
    </row>
    <row r="124">
      <c r="A124">
        <f t="shared" si="772"/>
        <v>121</v>
      </c>
      <c r="B124">
        <v>-0.13576211991055853</v>
      </c>
      <c r="C124">
        <f t="shared" si="773"/>
        <v>5.7291638389629096</v>
      </c>
    </row>
    <row r="125">
      <c r="A125">
        <f t="shared" si="772"/>
        <v>122</v>
      </c>
      <c r="B125">
        <v>0.28565924067400528</v>
      </c>
      <c r="C125">
        <f t="shared" si="773"/>
        <v>4.2177781807187298</v>
      </c>
    </row>
    <row r="126">
      <c r="A126">
        <f t="shared" si="772"/>
        <v>123</v>
      </c>
      <c r="B126">
        <v>-1.4558091954319821</v>
      </c>
      <c r="C126">
        <f t="shared" si="773"/>
        <v>2.68702042490502</v>
      </c>
    </row>
    <row r="127">
      <c r="A127">
        <f t="shared" si="772"/>
        <v>124</v>
      </c>
      <c r="B127">
        <v>-0.40784678043201356</v>
      </c>
      <c r="C127">
        <f t="shared" si="773"/>
        <v>2.864248621852</v>
      </c>
    </row>
    <row r="128">
      <c r="A128">
        <f t="shared" si="772"/>
        <v>125</v>
      </c>
      <c r="B128">
        <v>2.1343551379439551</v>
      </c>
      <c r="C128">
        <f t="shared" si="773"/>
        <v>5.9304317477279502</v>
      </c>
    </row>
    <row r="129">
      <c r="A129">
        <f t="shared" si="772"/>
        <v>126</v>
      </c>
      <c r="B129">
        <v>-1.5491149335966881</v>
      </c>
      <c r="C129">
        <f t="shared" si="773"/>
        <v>3.5180626353752902</v>
      </c>
    </row>
    <row r="130">
      <c r="A130">
        <f t="shared" si="772"/>
        <v>127</v>
      </c>
      <c r="B130">
        <v>-7.9749871774825495e-02</v>
      </c>
      <c r="C130">
        <f t="shared" si="773"/>
        <v>3.1456926614268301</v>
      </c>
    </row>
    <row r="131">
      <c r="A131">
        <f t="shared" si="772"/>
        <v>128</v>
      </c>
      <c r="B131">
        <v>4.3903436969936607e-02</v>
      </c>
      <c r="C131">
        <f t="shared" si="773"/>
        <v>4.0040285010825301</v>
      </c>
    </row>
    <row r="132">
      <c r="A132">
        <f t="shared" si="772"/>
        <v>129</v>
      </c>
      <c r="B132">
        <v>-0.27009948997537042</v>
      </c>
      <c r="C132">
        <f t="shared" si="773"/>
        <v>3.7518522285096001</v>
      </c>
    </row>
    <row r="133">
      <c r="A133">
        <f t="shared" si="772"/>
        <v>130</v>
      </c>
      <c r="B133">
        <v>5.0453329047212323</v>
      </c>
      <c r="C133">
        <f t="shared" si="773"/>
        <v>8.9102831597335506</v>
      </c>
    </row>
    <row r="134">
      <c r="A134">
        <f t="shared" si="772"/>
        <v>131</v>
      </c>
      <c r="B134">
        <v>0.51053066687885029</v>
      </c>
      <c r="C134">
        <f t="shared" si="773"/>
        <v>7.0331971192394702</v>
      </c>
    </row>
    <row r="135">
      <c r="A135">
        <f t="shared" si="772"/>
        <v>132</v>
      </c>
      <c r="B135">
        <v>0.62138390886575301</v>
      </c>
      <c r="C135">
        <f t="shared" si="773"/>
        <v>4.8766492423051799</v>
      </c>
    </row>
    <row r="136">
      <c r="A136">
        <f t="shared" si="772"/>
        <v>133</v>
      </c>
      <c r="B136">
        <v>2.2475382984199679</v>
      </c>
      <c r="C136">
        <f t="shared" si="773"/>
        <v>6.5582302528528498</v>
      </c>
    </row>
    <row r="137">
      <c r="A137">
        <f t="shared" si="772"/>
        <v>134</v>
      </c>
      <c r="B137">
        <v>-0.62013908128748474</v>
      </c>
      <c r="C137">
        <f t="shared" si="773"/>
        <v>4.5036300679225096</v>
      </c>
    </row>
    <row r="138">
      <c r="A138">
        <f t="shared" si="772"/>
        <v>135</v>
      </c>
      <c r="B138">
        <v>0.55435670358155276</v>
      </c>
      <c r="C138">
        <f t="shared" si="773"/>
        <v>4.2442871629378098</v>
      </c>
    </row>
    <row r="139">
      <c r="A139">
        <f t="shared" si="772"/>
        <v>136</v>
      </c>
      <c r="B139">
        <v>-4.8587617165446284</v>
      </c>
      <c r="C139">
        <f t="shared" si="773"/>
        <v>-0.58158336475385297</v>
      </c>
    </row>
    <row r="140">
      <c r="A140">
        <f t="shared" si="772"/>
        <v>137</v>
      </c>
      <c r="B140">
        <v>-0.24725173442981468</v>
      </c>
      <c r="C140">
        <f t="shared" si="773"/>
        <v>1.3233674072978701</v>
      </c>
    </row>
    <row r="141">
      <c r="A141">
        <f t="shared" si="772"/>
        <v>138</v>
      </c>
      <c r="B141">
        <v>-0.3847277234505741</v>
      </c>
      <c r="C141">
        <f t="shared" si="773"/>
        <v>3.4916464093345199</v>
      </c>
    </row>
    <row r="142">
      <c r="A142">
        <f t="shared" si="772"/>
        <v>139</v>
      </c>
      <c r="B142">
        <v>-2.1433699121846428</v>
      </c>
      <c r="C142">
        <f t="shared" si="773"/>
        <v>1.66426622609007</v>
      </c>
    </row>
    <row r="143">
      <c r="A143">
        <f t="shared" si="772"/>
        <v>140</v>
      </c>
      <c r="B143">
        <v>-2.8293252062742349</v>
      </c>
      <c r="C143">
        <f t="shared" si="773"/>
        <v>9.8989837633440006e-02</v>
      </c>
    </row>
    <row r="144">
      <c r="A144">
        <f t="shared" si="772"/>
        <v>141</v>
      </c>
      <c r="B144">
        <v>-4.6406597913258025</v>
      </c>
      <c r="C144">
        <f t="shared" si="773"/>
        <v>-2.05532239446292</v>
      </c>
    </row>
    <row r="145">
      <c r="A145">
        <f t="shared" si="772"/>
        <v>142</v>
      </c>
      <c r="B145">
        <v>4.4023595282677244</v>
      </c>
      <c r="C145">
        <f t="shared" si="773"/>
        <v>6.0820296326048302</v>
      </c>
    </row>
    <row r="146">
      <c r="A146">
        <f t="shared" si="772"/>
        <v>143</v>
      </c>
      <c r="B146">
        <v>1.0380237781213144</v>
      </c>
      <c r="C146">
        <f t="shared" si="773"/>
        <v>7.2392035422551801</v>
      </c>
    </row>
    <row r="147">
      <c r="A147">
        <f t="shared" si="772"/>
        <v>144</v>
      </c>
      <c r="B147">
        <v>-3.0733209607626568</v>
      </c>
      <c r="C147">
        <f t="shared" si="773"/>
        <v>1.4456909282979999</v>
      </c>
    </row>
    <row r="148">
      <c r="A148">
        <f t="shared" si="772"/>
        <v>145</v>
      </c>
      <c r="B148">
        <v>-1.2141125550648808</v>
      </c>
      <c r="C148">
        <f t="shared" si="773"/>
        <v>1.2492269645537899</v>
      </c>
    </row>
    <row r="149">
      <c r="A149">
        <f t="shared" si="772"/>
        <v>146</v>
      </c>
      <c r="B149">
        <v>0.89348266296512779</v>
      </c>
      <c r="C149">
        <f t="shared" si="773"/>
        <v>4.2864263854326898</v>
      </c>
    </row>
    <row r="150">
      <c r="A150">
        <f t="shared" si="772"/>
        <v>147</v>
      </c>
      <c r="B150">
        <v>2.3436799367168093</v>
      </c>
      <c r="C150">
        <f t="shared" si="773"/>
        <v>6.7904212681993696</v>
      </c>
    </row>
    <row r="151">
      <c r="A151">
        <f t="shared" si="772"/>
        <v>148</v>
      </c>
      <c r="B151">
        <v>2.9325155604201338</v>
      </c>
      <c r="C151">
        <f t="shared" si="773"/>
        <v>8.1043555287785392</v>
      </c>
    </row>
    <row r="152">
      <c r="A152">
        <f t="shared" si="772"/>
        <v>149</v>
      </c>
      <c r="B152">
        <v>0.14367537059120353</v>
      </c>
      <c r="C152">
        <f t="shared" si="773"/>
        <v>5.60993315080127</v>
      </c>
    </row>
    <row r="153">
      <c r="A153">
        <f t="shared" si="772"/>
        <v>150</v>
      </c>
      <c r="B153">
        <v>-3.9529352242002846</v>
      </c>
      <c r="C153">
        <f t="shared" si="773"/>
        <v>0.118902461095312</v>
      </c>
    </row>
    <row r="154">
      <c r="A154">
        <f t="shared" si="772"/>
        <v>151</v>
      </c>
      <c r="B154">
        <v>5.5613094153478082</v>
      </c>
      <c r="C154">
        <f t="shared" si="773"/>
        <v>7.5848418032476603</v>
      </c>
    </row>
    <row r="155">
      <c r="A155">
        <f t="shared" si="772"/>
        <v>152</v>
      </c>
      <c r="B155">
        <v>-0.1001986443622106</v>
      </c>
      <c r="C155">
        <f t="shared" si="773"/>
        <v>6.6804560633117003</v>
      </c>
    </row>
    <row r="156">
      <c r="A156">
        <f t="shared" si="772"/>
        <v>153</v>
      </c>
      <c r="B156">
        <v>-0.66606758365839613</v>
      </c>
      <c r="C156">
        <f t="shared" si="773"/>
        <v>3.2838330941604901</v>
      </c>
    </row>
    <row r="157">
      <c r="A157">
        <f t="shared" si="772"/>
        <v>154</v>
      </c>
      <c r="B157">
        <v>-2.0981399943381884</v>
      </c>
      <c r="C157">
        <f t="shared" si="773"/>
        <v>1.5688262138326099</v>
      </c>
    </row>
    <row r="158">
      <c r="A158">
        <f t="shared" si="772"/>
        <v>155</v>
      </c>
      <c r="B158">
        <v>1.2251159106662934</v>
      </c>
      <c r="C158">
        <f t="shared" si="773"/>
        <v>4.1760459134971901</v>
      </c>
    </row>
    <row r="159">
      <c r="A159">
        <f t="shared" si="772"/>
        <v>156</v>
      </c>
      <c r="B159">
        <v>-0.12676325993953469</v>
      </c>
      <c r="C159">
        <f t="shared" si="773"/>
        <v>4.4857946953936203</v>
      </c>
    </row>
    <row r="160">
      <c r="A160">
        <f t="shared" si="772"/>
        <v>157</v>
      </c>
      <c r="B160">
        <v>1.1570064245985454</v>
      </c>
      <c r="C160">
        <f t="shared" si="773"/>
        <v>5.0936247946287798</v>
      </c>
    </row>
    <row r="161">
      <c r="A161">
        <f t="shared" si="772"/>
        <v>158</v>
      </c>
      <c r="B161">
        <v>0.40989502220620444</v>
      </c>
      <c r="C161">
        <f t="shared" si="773"/>
        <v>4.9883982345054898</v>
      </c>
    </row>
    <row r="162">
      <c r="A162">
        <f t="shared" si="772"/>
        <v>159</v>
      </c>
      <c r="B162">
        <v>2.2936521170715727</v>
      </c>
      <c r="C162">
        <f t="shared" si="773"/>
        <v>6.4985996281746701</v>
      </c>
    </row>
    <row r="163">
      <c r="A163">
        <f t="shared" si="772"/>
        <v>160</v>
      </c>
      <c r="B163">
        <v>2.4857117999045872</v>
      </c>
      <c r="C163">
        <f t="shared" si="773"/>
        <v>7.6325378584403802</v>
      </c>
    </row>
    <row r="164">
      <c r="A164">
        <f t="shared" si="772"/>
        <v>161</v>
      </c>
      <c r="B164">
        <v>0.69550043821023466</v>
      </c>
      <c r="C164">
        <f t="shared" si="773"/>
        <v>5.9383563381625404</v>
      </c>
    </row>
    <row r="165">
      <c r="A165">
        <f t="shared" ref="A165:A203" si="774">A164+1</f>
        <v>162</v>
      </c>
      <c r="B165">
        <v>0.6039917171120085</v>
      </c>
      <c r="C165">
        <f t="shared" ref="C165:C203" si="775">4+B165+0.5*B164</f>
        <v>4.9517419362171298</v>
      </c>
    </row>
    <row r="166">
      <c r="A166">
        <f t="shared" si="774"/>
        <v>163</v>
      </c>
      <c r="B166">
        <v>1.6834379817024707</v>
      </c>
      <c r="C166">
        <f t="shared" si="775"/>
        <v>5.9854338402584801</v>
      </c>
    </row>
    <row r="167">
      <c r="A167">
        <f t="shared" si="774"/>
        <v>164</v>
      </c>
      <c r="B167">
        <v>4.4919622321583965</v>
      </c>
      <c r="C167">
        <f t="shared" si="775"/>
        <v>9.3336812230096395</v>
      </c>
    </row>
    <row r="168">
      <c r="A168">
        <f t="shared" si="774"/>
        <v>165</v>
      </c>
      <c r="B168">
        <v>-2.897366653451952</v>
      </c>
      <c r="C168">
        <f t="shared" si="775"/>
        <v>3.3486144626272498</v>
      </c>
    </row>
    <row r="169">
      <c r="A169">
        <f t="shared" si="774"/>
        <v>166</v>
      </c>
      <c r="B169">
        <v>-0.23696162345469679</v>
      </c>
      <c r="C169">
        <f t="shared" si="775"/>
        <v>2.3143550498193202</v>
      </c>
    </row>
    <row r="170">
      <c r="A170">
        <f t="shared" si="774"/>
        <v>167</v>
      </c>
      <c r="B170">
        <v>0.74425925362625922</v>
      </c>
      <c r="C170">
        <f t="shared" si="775"/>
        <v>4.6257784418989099</v>
      </c>
    </row>
    <row r="171">
      <c r="A171">
        <f t="shared" si="774"/>
        <v>168</v>
      </c>
      <c r="B171">
        <v>0.31255868255619462</v>
      </c>
      <c r="C171">
        <f t="shared" si="775"/>
        <v>4.6846883093693297</v>
      </c>
    </row>
    <row r="172">
      <c r="A172">
        <f t="shared" si="774"/>
        <v>169</v>
      </c>
      <c r="B172">
        <v>1.7117356908427732</v>
      </c>
      <c r="C172">
        <f t="shared" si="775"/>
        <v>5.8680150321208702</v>
      </c>
    </row>
    <row r="173">
      <c r="A173">
        <f t="shared" si="774"/>
        <v>170</v>
      </c>
      <c r="B173">
        <v>1.4092291935456605</v>
      </c>
      <c r="C173">
        <f t="shared" si="775"/>
        <v>6.2650970389670499</v>
      </c>
    </row>
    <row r="174">
      <c r="A174">
        <f t="shared" si="774"/>
        <v>171</v>
      </c>
      <c r="B174">
        <v>-1.0444935398867643</v>
      </c>
      <c r="C174">
        <f t="shared" si="775"/>
        <v>3.6601210568860698</v>
      </c>
    </row>
    <row r="175">
      <c r="A175">
        <f t="shared" si="774"/>
        <v>172</v>
      </c>
      <c r="B175">
        <v>2.0468577626200242</v>
      </c>
      <c r="C175">
        <f t="shared" si="775"/>
        <v>5.5246109926766396</v>
      </c>
    </row>
    <row r="176">
      <c r="A176">
        <f t="shared" si="774"/>
        <v>173</v>
      </c>
      <c r="B176">
        <v>1.0181519976236175</v>
      </c>
      <c r="C176">
        <f t="shared" si="775"/>
        <v>6.0415808789336296</v>
      </c>
    </row>
    <row r="177">
      <c r="A177">
        <f t="shared" si="774"/>
        <v>174</v>
      </c>
      <c r="B177">
        <v>-0.14413909445669246</v>
      </c>
      <c r="C177">
        <f t="shared" si="775"/>
        <v>4.3649369043551198</v>
      </c>
    </row>
    <row r="178">
      <c r="A178">
        <f t="shared" si="774"/>
        <v>175</v>
      </c>
      <c r="B178">
        <v>-3.1624769047698686</v>
      </c>
      <c r="C178">
        <f t="shared" si="775"/>
        <v>0.765453548001784</v>
      </c>
    </row>
    <row r="179">
      <c r="A179">
        <f t="shared" si="774"/>
        <v>176</v>
      </c>
      <c r="B179">
        <v>1.0643808418547649</v>
      </c>
      <c r="C179">
        <f t="shared" si="775"/>
        <v>3.4831423894698301</v>
      </c>
    </row>
    <row r="180">
      <c r="A180">
        <f t="shared" si="774"/>
        <v>177</v>
      </c>
      <c r="B180">
        <v>-0.37541754431011487</v>
      </c>
      <c r="C180">
        <f t="shared" si="775"/>
        <v>4.1567728766172802</v>
      </c>
    </row>
    <row r="181">
      <c r="A181">
        <f t="shared" si="774"/>
        <v>178</v>
      </c>
      <c r="B181">
        <v>-1.3024912863125959</v>
      </c>
      <c r="C181">
        <f t="shared" si="775"/>
        <v>2.5097999415323402</v>
      </c>
    </row>
    <row r="182">
      <c r="A182">
        <f t="shared" si="774"/>
        <v>179</v>
      </c>
      <c r="B182">
        <v>0.14623880979302159</v>
      </c>
      <c r="C182">
        <f t="shared" si="775"/>
        <v>3.49499316663672</v>
      </c>
    </row>
    <row r="183">
      <c r="A183">
        <f t="shared" si="774"/>
        <v>180</v>
      </c>
      <c r="B183">
        <v>-0.79752555006842474</v>
      </c>
      <c r="C183">
        <f t="shared" si="775"/>
        <v>3.2755938548280898</v>
      </c>
    </row>
    <row r="184">
      <c r="A184">
        <f t="shared" si="774"/>
        <v>181</v>
      </c>
      <c r="B184">
        <v>2.1337494089782312</v>
      </c>
      <c r="C184">
        <f t="shared" si="775"/>
        <v>5.7349866339440201</v>
      </c>
    </row>
    <row r="185">
      <c r="A185">
        <f t="shared" si="774"/>
        <v>182</v>
      </c>
      <c r="B185">
        <v>-7.5519709735454965e-02</v>
      </c>
      <c r="C185">
        <f t="shared" si="775"/>
        <v>4.9913549947536699</v>
      </c>
    </row>
    <row r="186">
      <c r="A186">
        <f t="shared" si="774"/>
        <v>183</v>
      </c>
      <c r="B186">
        <v>-1.6639090449239911</v>
      </c>
      <c r="C186">
        <f t="shared" si="775"/>
        <v>2.29833110020828</v>
      </c>
    </row>
    <row r="187">
      <c r="A187">
        <f t="shared" si="774"/>
        <v>184</v>
      </c>
      <c r="B187">
        <v>1.5086760682566831</v>
      </c>
      <c r="C187">
        <f t="shared" si="775"/>
        <v>4.67672154579469</v>
      </c>
    </row>
    <row r="188">
      <c r="A188">
        <f t="shared" si="774"/>
        <v>185</v>
      </c>
      <c r="B188">
        <v>2.3902319500511857</v>
      </c>
      <c r="C188">
        <f t="shared" si="775"/>
        <v>7.1445699841795296</v>
      </c>
    </row>
    <row r="189">
      <c r="A189">
        <f t="shared" si="774"/>
        <v>186</v>
      </c>
      <c r="B189">
        <v>-3.3171698035556143</v>
      </c>
      <c r="C189">
        <f t="shared" si="775"/>
        <v>1.8779461714699901</v>
      </c>
    </row>
    <row r="190">
      <c r="A190">
        <f t="shared" si="774"/>
        <v>187</v>
      </c>
      <c r="B190">
        <v>1.0781329144528979</v>
      </c>
      <c r="C190">
        <f t="shared" si="775"/>
        <v>3.4195480126750901</v>
      </c>
    </row>
    <row r="191">
      <c r="A191">
        <f t="shared" si="774"/>
        <v>188</v>
      </c>
      <c r="B191">
        <v>1.5567309462376924</v>
      </c>
      <c r="C191">
        <f t="shared" si="775"/>
        <v>6.0957974034641396</v>
      </c>
    </row>
    <row r="192">
      <c r="A192">
        <f t="shared" si="774"/>
        <v>189</v>
      </c>
      <c r="B192">
        <v>2.3070163158394528</v>
      </c>
      <c r="C192">
        <f t="shared" si="775"/>
        <v>7.0853817889583004</v>
      </c>
    </row>
    <row r="193">
      <c r="A193">
        <f t="shared" si="774"/>
        <v>190</v>
      </c>
      <c r="B193">
        <v>0.55441335405162306</v>
      </c>
      <c r="C193">
        <f t="shared" si="775"/>
        <v>5.7079215119713496</v>
      </c>
    </row>
    <row r="194">
      <c r="A194">
        <f t="shared" si="774"/>
        <v>191</v>
      </c>
      <c r="B194">
        <v>-1.9751380436788943</v>
      </c>
      <c r="C194">
        <f t="shared" si="775"/>
        <v>2.30206863334692</v>
      </c>
    </row>
    <row r="195">
      <c r="A195">
        <f t="shared" si="774"/>
        <v>192</v>
      </c>
      <c r="B195">
        <v>0.91198382356160401</v>
      </c>
      <c r="C195">
        <f t="shared" si="775"/>
        <v>3.9244148017221501</v>
      </c>
    </row>
    <row r="196">
      <c r="A196">
        <f t="shared" si="774"/>
        <v>193</v>
      </c>
      <c r="B196">
        <v>-0.81463532483798784</v>
      </c>
      <c r="C196">
        <f t="shared" si="775"/>
        <v>3.6413565869428099</v>
      </c>
    </row>
    <row r="197">
      <c r="A197">
        <f t="shared" si="774"/>
        <v>194</v>
      </c>
      <c r="B197">
        <v>0.49076938257403002</v>
      </c>
      <c r="C197">
        <f t="shared" si="775"/>
        <v>4.0834517201550398</v>
      </c>
    </row>
    <row r="198">
      <c r="A198">
        <f t="shared" si="774"/>
        <v>195</v>
      </c>
      <c r="B198">
        <v>-2.2885601654883678</v>
      </c>
      <c r="C198">
        <f t="shared" si="775"/>
        <v>1.9568245257986501</v>
      </c>
    </row>
    <row r="199">
      <c r="A199">
        <f t="shared" si="774"/>
        <v>196</v>
      </c>
      <c r="B199">
        <v>0.93023171808179261</v>
      </c>
      <c r="C199">
        <f t="shared" si="775"/>
        <v>3.7859516353376002</v>
      </c>
    </row>
    <row r="200">
      <c r="A200">
        <f t="shared" si="774"/>
        <v>197</v>
      </c>
      <c r="B200">
        <v>0.79644074037922385</v>
      </c>
      <c r="C200">
        <f t="shared" si="775"/>
        <v>5.2615565994201301</v>
      </c>
    </row>
    <row r="201">
      <c r="A201">
        <f t="shared" si="774"/>
        <v>198</v>
      </c>
      <c r="B201">
        <v>4.1441833756284643</v>
      </c>
      <c r="C201">
        <f t="shared" si="775"/>
        <v>8.5424037458180795</v>
      </c>
    </row>
    <row r="202">
      <c r="A202">
        <f t="shared" si="774"/>
        <v>199</v>
      </c>
      <c r="B202">
        <v>-0.81179966656030955</v>
      </c>
      <c r="C202">
        <f t="shared" si="775"/>
        <v>5.2602920212539299</v>
      </c>
    </row>
    <row r="203">
      <c r="A203">
        <f t="shared" si="774"/>
        <v>200</v>
      </c>
      <c r="B203" s="14">
        <v>-1.9638608721279489</v>
      </c>
      <c r="C203" s="14">
        <f t="shared" si="775"/>
        <v>1.6302392945919</v>
      </c>
    </row>
    <row r="205">
      <c r="B205" t="s">
        <v>514</v>
      </c>
    </row>
    <row r="206">
      <c r="B206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7232139999999996"/>
    <col customWidth="1" min="4" max="4" width="3.1785709999999998"/>
    <col customWidth="1" min="5" max="5" style="15" width="3.723214"/>
    <col customWidth="1" min="6" max="7" width="10.723214"/>
  </cols>
  <sheetData>
    <row r="1">
      <c r="A1" s="1" t="s">
        <v>513</v>
      </c>
    </row>
    <row r="2">
      <c r="A2" s="1"/>
    </row>
    <row r="3">
      <c r="A3" s="1"/>
    </row>
    <row r="4">
      <c r="B4" s="4" t="s">
        <v>342</v>
      </c>
      <c r="C4" s="4" t="s">
        <v>343</v>
      </c>
      <c r="E4" s="4" t="s">
        <v>291</v>
      </c>
      <c r="F4" s="4" t="s">
        <v>292</v>
      </c>
      <c r="G4" s="4" t="s">
        <v>432</v>
      </c>
    </row>
    <row r="5">
      <c r="A5">
        <v>1</v>
      </c>
      <c r="B5">
        <v>-0.69420091468668932</v>
      </c>
      <c r="E5" s="15">
        <v>1</v>
      </c>
      <c r="F5" t="e">
        <v>#NAME?</v>
      </c>
      <c r="G5" s="15">
        <f>0.5/(1+0.5^2)</f>
        <v>0.40000000000000002</v>
      </c>
    </row>
    <row r="6">
      <c r="A6">
        <f t="shared" ref="A6:A10" si="776">A5+1</f>
        <v>2</v>
      </c>
      <c r="B6">
        <v>-0.87558778428873507</v>
      </c>
      <c r="C6">
        <f t="shared" ref="C6:C9" si="777">4+B6+0.5*B5</f>
        <v>2.7773117583679299</v>
      </c>
      <c r="E6" s="15">
        <f t="shared" ref="E6:E10" si="778">E5+1</f>
        <v>2</v>
      </c>
      <c r="F6" t="e">
        <v>#NAME?</v>
      </c>
      <c r="G6" s="15">
        <v>0</v>
      </c>
    </row>
    <row r="7">
      <c r="A7">
        <f t="shared" si="776"/>
        <v>3</v>
      </c>
      <c r="B7">
        <v>-0.74392130947938684</v>
      </c>
      <c r="C7">
        <f t="shared" si="777"/>
        <v>2.81828479837624</v>
      </c>
      <c r="E7" s="15">
        <f t="shared" si="778"/>
        <v>3</v>
      </c>
      <c r="F7" t="e">
        <v>#NAME?</v>
      </c>
      <c r="G7" s="15">
        <v>0</v>
      </c>
    </row>
    <row r="8">
      <c r="A8">
        <f t="shared" si="776"/>
        <v>4</v>
      </c>
      <c r="B8">
        <v>3.0728091528421637</v>
      </c>
      <c r="C8">
        <f t="shared" si="777"/>
        <v>6.7008484981024701</v>
      </c>
      <c r="E8" s="15">
        <f t="shared" si="778"/>
        <v>4</v>
      </c>
      <c r="F8" t="e">
        <v>#NAME?</v>
      </c>
      <c r="G8" s="15">
        <v>0</v>
      </c>
    </row>
    <row r="9">
      <c r="A9">
        <f t="shared" si="776"/>
        <v>5</v>
      </c>
      <c r="B9">
        <v>-1.9419373719738628</v>
      </c>
      <c r="C9">
        <f t="shared" si="777"/>
        <v>3.5944672044472199</v>
      </c>
      <c r="E9" s="15">
        <f t="shared" si="778"/>
        <v>5</v>
      </c>
      <c r="F9" t="e">
        <v>#NAME?</v>
      </c>
      <c r="G9" s="15">
        <v>0</v>
      </c>
    </row>
    <row r="10">
      <c r="A10">
        <f t="shared" si="776"/>
        <v>6</v>
      </c>
      <c r="B10">
        <v>-1.7296502884778595</v>
      </c>
      <c r="C10">
        <f>4+B10+0.5*B9</f>
        <v>1.2993810255352101</v>
      </c>
      <c r="E10" s="15">
        <f t="shared" si="778"/>
        <v>6</v>
      </c>
      <c r="F10" t="e">
        <v>#NAME?</v>
      </c>
      <c r="G10" s="15">
        <v>0</v>
      </c>
    </row>
    <row r="11">
      <c r="A11">
        <f t="shared" ref="A11:A74" si="779">A10+1</f>
        <v>7</v>
      </c>
      <c r="B11">
        <v>2.1964877398152103</v>
      </c>
      <c r="C11">
        <f t="shared" ref="C11:C74" si="780">4+B11+0.5*B10</f>
        <v>5.3316625955762804</v>
      </c>
      <c r="E11" s="15">
        <f t="shared" ref="E11:E19" si="781">E10+1</f>
        <v>7</v>
      </c>
      <c r="F11" t="e">
        <v>#NAME?</v>
      </c>
      <c r="G11" s="15">
        <v>0</v>
      </c>
    </row>
    <row r="12">
      <c r="A12">
        <f t="shared" si="779"/>
        <v>8</v>
      </c>
      <c r="B12">
        <v>-3.6212692123216481</v>
      </c>
      <c r="C12">
        <f t="shared" si="780"/>
        <v>1.4769746575859599</v>
      </c>
      <c r="E12" s="15">
        <f t="shared" si="781"/>
        <v>8</v>
      </c>
      <c r="F12" t="e">
        <v>#NAME?</v>
      </c>
      <c r="G12" s="15">
        <v>0</v>
      </c>
    </row>
    <row r="13">
      <c r="A13">
        <f t="shared" si="779"/>
        <v>9</v>
      </c>
      <c r="B13">
        <v>-0.73537045424691472</v>
      </c>
      <c r="C13">
        <f t="shared" si="780"/>
        <v>1.45399493959226</v>
      </c>
      <c r="E13" s="15">
        <f t="shared" si="781"/>
        <v>9</v>
      </c>
      <c r="F13" t="e">
        <v>#NAME?</v>
      </c>
      <c r="G13" s="15">
        <v>0</v>
      </c>
    </row>
    <row r="14">
      <c r="A14">
        <f t="shared" si="779"/>
        <v>10</v>
      </c>
      <c r="B14">
        <v>-2.3965548844576574</v>
      </c>
      <c r="C14">
        <f t="shared" si="780"/>
        <v>1.2357598884188801</v>
      </c>
      <c r="E14" s="15">
        <f t="shared" si="781"/>
        <v>10</v>
      </c>
      <c r="F14" t="e">
        <v>#NAME?</v>
      </c>
      <c r="G14" s="15">
        <v>0</v>
      </c>
    </row>
    <row r="15">
      <c r="A15">
        <f t="shared" si="779"/>
        <v>11</v>
      </c>
      <c r="B15">
        <v>-0.75072452984709093</v>
      </c>
      <c r="C15">
        <f t="shared" si="780"/>
        <v>2.0509980279240798</v>
      </c>
      <c r="E15" s="15">
        <f t="shared" si="781"/>
        <v>11</v>
      </c>
      <c r="F15" t="e">
        <v>#NAME?</v>
      </c>
      <c r="G15" s="15">
        <v>0</v>
      </c>
    </row>
    <row r="16">
      <c r="A16">
        <f t="shared" si="779"/>
        <v>12</v>
      </c>
      <c r="B16">
        <v>0.51621828199445963</v>
      </c>
      <c r="C16">
        <f t="shared" si="780"/>
        <v>4.1408560170709103</v>
      </c>
      <c r="E16" s="15">
        <f t="shared" si="781"/>
        <v>12</v>
      </c>
      <c r="F16" t="e">
        <v>#NAME?</v>
      </c>
      <c r="G16" s="15">
        <v>0</v>
      </c>
    </row>
    <row r="17">
      <c r="A17">
        <f t="shared" si="779"/>
        <v>13</v>
      </c>
      <c r="B17">
        <v>1.857550407661875</v>
      </c>
      <c r="C17">
        <f t="shared" si="780"/>
        <v>6.1156595486591101</v>
      </c>
      <c r="E17" s="15">
        <f t="shared" si="781"/>
        <v>13</v>
      </c>
      <c r="F17" t="e">
        <v>#NAME?</v>
      </c>
      <c r="G17" s="15">
        <v>0</v>
      </c>
    </row>
    <row r="18">
      <c r="A18">
        <f t="shared" si="779"/>
        <v>14</v>
      </c>
      <c r="B18">
        <v>1.8555028839107321</v>
      </c>
      <c r="C18">
        <f t="shared" si="780"/>
        <v>6.7842780877416704</v>
      </c>
      <c r="E18" s="15">
        <f t="shared" si="781"/>
        <v>14</v>
      </c>
      <c r="F18" t="e">
        <v>#NAME?</v>
      </c>
      <c r="G18" s="15">
        <v>0</v>
      </c>
    </row>
    <row r="19">
      <c r="A19">
        <f t="shared" si="779"/>
        <v>15</v>
      </c>
      <c r="B19">
        <v>-1.0084510887843623</v>
      </c>
      <c r="C19">
        <f t="shared" si="780"/>
        <v>3.91930035317101</v>
      </c>
      <c r="E19" s="17">
        <f t="shared" si="781"/>
        <v>15</v>
      </c>
      <c r="F19" s="14" t="e">
        <v>#NAME?</v>
      </c>
      <c r="G19" s="17">
        <v>0</v>
      </c>
    </row>
    <row r="20">
      <c r="A20">
        <f t="shared" si="779"/>
        <v>16</v>
      </c>
      <c r="B20">
        <v>1.4960391755868736</v>
      </c>
      <c r="C20">
        <f t="shared" si="780"/>
        <v>4.9918136311946899</v>
      </c>
    </row>
    <row r="21">
      <c r="A21">
        <f t="shared" si="779"/>
        <v>17</v>
      </c>
      <c r="B21">
        <v>-0.40039667282690755</v>
      </c>
      <c r="C21">
        <f t="shared" si="780"/>
        <v>4.3476229149665304</v>
      </c>
    </row>
    <row r="22">
      <c r="A22">
        <f t="shared" si="779"/>
        <v>18</v>
      </c>
      <c r="B22">
        <v>-2.1659297760239777</v>
      </c>
      <c r="C22">
        <f t="shared" si="780"/>
        <v>1.63387188756257</v>
      </c>
    </row>
    <row r="23">
      <c r="A23">
        <f t="shared" si="779"/>
        <v>19</v>
      </c>
      <c r="B23">
        <v>1.265945750690491</v>
      </c>
      <c r="C23">
        <f t="shared" si="780"/>
        <v>4.1829808626784999</v>
      </c>
    </row>
    <row r="24">
      <c r="A24">
        <f t="shared" si="779"/>
        <v>20</v>
      </c>
      <c r="B24">
        <v>1.3803624088083266</v>
      </c>
      <c r="C24">
        <f t="shared" si="780"/>
        <v>6.0133352841535803</v>
      </c>
    </row>
    <row r="25">
      <c r="A25">
        <f t="shared" si="779"/>
        <v>21</v>
      </c>
      <c r="B25">
        <v>-0.6899420173245624</v>
      </c>
      <c r="C25">
        <f t="shared" si="780"/>
        <v>4.0002391870796101</v>
      </c>
    </row>
    <row r="26">
      <c r="A26">
        <f t="shared" si="779"/>
        <v>22</v>
      </c>
      <c r="B26">
        <v>-0.60723301719649769</v>
      </c>
      <c r="C26">
        <f t="shared" si="780"/>
        <v>3.0477959741412199</v>
      </c>
    </row>
    <row r="27">
      <c r="A27">
        <f t="shared" si="779"/>
        <v>23</v>
      </c>
      <c r="B27">
        <v>0.43319896792900731</v>
      </c>
      <c r="C27">
        <f t="shared" si="780"/>
        <v>4.1295824593307602</v>
      </c>
    </row>
    <row r="28">
      <c r="A28">
        <f t="shared" si="779"/>
        <v>24</v>
      </c>
      <c r="B28">
        <v>-0.77726215348466687</v>
      </c>
      <c r="C28">
        <f t="shared" si="780"/>
        <v>3.4393373304798298</v>
      </c>
    </row>
    <row r="29">
      <c r="A29">
        <f t="shared" si="779"/>
        <v>25</v>
      </c>
      <c r="B29">
        <v>-1.8164843165145284</v>
      </c>
      <c r="C29">
        <f t="shared" si="780"/>
        <v>1.7948846067431401</v>
      </c>
    </row>
    <row r="30">
      <c r="A30">
        <f t="shared" si="779"/>
        <v>26</v>
      </c>
      <c r="B30">
        <v>2.3362010307127998</v>
      </c>
      <c r="C30">
        <f t="shared" si="780"/>
        <v>5.4279588724555401</v>
      </c>
    </row>
    <row r="31">
      <c r="A31">
        <f t="shared" si="779"/>
        <v>27</v>
      </c>
      <c r="B31">
        <v>0.53940757415645246</v>
      </c>
      <c r="C31">
        <f t="shared" si="780"/>
        <v>5.7075080895128503</v>
      </c>
    </row>
    <row r="32">
      <c r="A32">
        <f t="shared" si="779"/>
        <v>28</v>
      </c>
      <c r="B32">
        <v>-4.4049614316555991e-02</v>
      </c>
      <c r="C32">
        <f t="shared" si="780"/>
        <v>4.2256541727616703</v>
      </c>
    </row>
    <row r="33">
      <c r="A33">
        <f t="shared" si="779"/>
        <v>29</v>
      </c>
      <c r="B33">
        <v>2.3057581413476544</v>
      </c>
      <c r="C33">
        <f t="shared" si="780"/>
        <v>6.2837333341893702</v>
      </c>
    </row>
    <row r="34">
      <c r="A34">
        <f t="shared" si="779"/>
        <v>30</v>
      </c>
      <c r="B34">
        <v>4.4245912408273673</v>
      </c>
      <c r="C34">
        <f t="shared" si="780"/>
        <v>9.5774703115011999</v>
      </c>
    </row>
    <row r="35">
      <c r="A35">
        <f t="shared" si="779"/>
        <v>31</v>
      </c>
      <c r="B35">
        <v>-0.87761234660300036</v>
      </c>
      <c r="C35">
        <f t="shared" si="780"/>
        <v>5.3346832738106897</v>
      </c>
    </row>
    <row r="36">
      <c r="A36">
        <f t="shared" si="779"/>
        <v>32</v>
      </c>
      <c r="B36">
        <v>-8.9411512738627741e-02</v>
      </c>
      <c r="C36">
        <f t="shared" si="780"/>
        <v>3.4717823139598698</v>
      </c>
    </row>
    <row r="37">
      <c r="A37">
        <f t="shared" si="779"/>
        <v>33</v>
      </c>
      <c r="B37">
        <v>1.3116096495739089</v>
      </c>
      <c r="C37">
        <f t="shared" si="780"/>
        <v>5.2669038932046002</v>
      </c>
    </row>
    <row r="38">
      <c r="A38">
        <f t="shared" si="779"/>
        <v>34</v>
      </c>
      <c r="B38">
        <v>-5.7407753840039939e-02</v>
      </c>
      <c r="C38">
        <f t="shared" si="780"/>
        <v>4.5983970709469197</v>
      </c>
    </row>
    <row r="39">
      <c r="A39">
        <f t="shared" si="779"/>
        <v>35</v>
      </c>
      <c r="B39">
        <v>-0.23005134035884045</v>
      </c>
      <c r="C39">
        <f t="shared" si="780"/>
        <v>3.7412447827211399</v>
      </c>
    </row>
    <row r="40">
      <c r="A40">
        <f t="shared" si="779"/>
        <v>36</v>
      </c>
      <c r="B40">
        <v>0.57825656951370696</v>
      </c>
      <c r="C40">
        <f t="shared" si="780"/>
        <v>4.46323089933429</v>
      </c>
    </row>
    <row r="41">
      <c r="A41">
        <f t="shared" si="779"/>
        <v>37</v>
      </c>
      <c r="B41">
        <v>-2.6169621132803687</v>
      </c>
      <c r="C41">
        <f t="shared" si="780"/>
        <v>1.6721661714764799</v>
      </c>
    </row>
    <row r="42">
      <c r="A42">
        <f t="shared" si="779"/>
        <v>38</v>
      </c>
      <c r="B42">
        <v>-2.4905726166394642</v>
      </c>
      <c r="C42">
        <f t="shared" si="780"/>
        <v>0.20094632672035001</v>
      </c>
    </row>
    <row r="43">
      <c r="A43">
        <f t="shared" si="779"/>
        <v>39</v>
      </c>
      <c r="B43">
        <v>0.5869249825884717</v>
      </c>
      <c r="C43">
        <f t="shared" si="780"/>
        <v>3.3416386742687401</v>
      </c>
    </row>
    <row r="44">
      <c r="A44">
        <f t="shared" si="779"/>
        <v>40</v>
      </c>
      <c r="B44">
        <v>-0.81234505881972496</v>
      </c>
      <c r="C44">
        <f t="shared" si="780"/>
        <v>3.48111743247452</v>
      </c>
    </row>
    <row r="45">
      <c r="A45">
        <f t="shared" si="779"/>
        <v>41</v>
      </c>
      <c r="B45">
        <v>2.0037975662623024</v>
      </c>
      <c r="C45">
        <f t="shared" si="780"/>
        <v>5.5976250368524401</v>
      </c>
    </row>
    <row r="46">
      <c r="A46">
        <f t="shared" si="779"/>
        <v>42</v>
      </c>
      <c r="B46">
        <v>3.8424720915805448</v>
      </c>
      <c r="C46">
        <f t="shared" si="780"/>
        <v>8.8443708747117</v>
      </c>
    </row>
    <row r="47">
      <c r="A47">
        <f t="shared" si="779"/>
        <v>43</v>
      </c>
      <c r="B47">
        <v>0.32596170386742068</v>
      </c>
      <c r="C47">
        <f t="shared" si="780"/>
        <v>6.2471977496577002</v>
      </c>
    </row>
    <row r="48">
      <c r="A48">
        <f t="shared" si="779"/>
        <v>44</v>
      </c>
      <c r="B48">
        <v>0.87008659160246826</v>
      </c>
      <c r="C48">
        <f t="shared" si="780"/>
        <v>5.0330674435361802</v>
      </c>
    </row>
    <row r="49">
      <c r="A49">
        <f t="shared" si="779"/>
        <v>45</v>
      </c>
      <c r="B49">
        <v>-0.36537031831069855</v>
      </c>
      <c r="C49">
        <f t="shared" si="780"/>
        <v>4.06967297749053</v>
      </c>
    </row>
    <row r="50">
      <c r="A50">
        <f t="shared" si="779"/>
        <v>46</v>
      </c>
      <c r="B50">
        <v>-1.4235386617346899</v>
      </c>
      <c r="C50">
        <f t="shared" si="780"/>
        <v>2.3937761791099601</v>
      </c>
    </row>
    <row r="51">
      <c r="A51">
        <f t="shared" si="779"/>
        <v>47</v>
      </c>
      <c r="B51">
        <v>2.5046237445473025</v>
      </c>
      <c r="C51">
        <f t="shared" si="780"/>
        <v>5.7928544136799598</v>
      </c>
    </row>
    <row r="52">
      <c r="A52">
        <f t="shared" si="779"/>
        <v>48</v>
      </c>
      <c r="B52">
        <v>0.99722248777568656</v>
      </c>
      <c r="C52">
        <f t="shared" si="780"/>
        <v>6.2495343600493403</v>
      </c>
    </row>
    <row r="53">
      <c r="A53">
        <f t="shared" si="779"/>
        <v>49</v>
      </c>
      <c r="B53">
        <v>-0.27654238324895269</v>
      </c>
      <c r="C53">
        <f t="shared" si="780"/>
        <v>4.2220688606388901</v>
      </c>
    </row>
    <row r="54">
      <c r="A54">
        <f t="shared" si="779"/>
        <v>50</v>
      </c>
      <c r="B54">
        <v>1.5856114065285145</v>
      </c>
      <c r="C54">
        <f t="shared" si="780"/>
        <v>5.4473402149040302</v>
      </c>
    </row>
    <row r="55">
      <c r="A55">
        <f t="shared" si="779"/>
        <v>51</v>
      </c>
      <c r="B55">
        <v>0.20961962024818881</v>
      </c>
      <c r="C55">
        <f t="shared" si="780"/>
        <v>5.0024253235124503</v>
      </c>
    </row>
    <row r="56">
      <c r="A56">
        <f t="shared" si="779"/>
        <v>52</v>
      </c>
      <c r="B56">
        <v>1.5484203037498829</v>
      </c>
      <c r="C56">
        <f t="shared" si="780"/>
        <v>5.6532301138739802</v>
      </c>
    </row>
    <row r="57">
      <c r="A57">
        <f t="shared" si="779"/>
        <v>53</v>
      </c>
      <c r="B57">
        <v>-0.92826506819668642</v>
      </c>
      <c r="C57">
        <f t="shared" si="780"/>
        <v>3.8459450836782501</v>
      </c>
    </row>
    <row r="58">
      <c r="A58">
        <f t="shared" si="779"/>
        <v>54</v>
      </c>
      <c r="B58">
        <v>3.9340990778615104</v>
      </c>
      <c r="C58">
        <f t="shared" si="780"/>
        <v>7.4699665437631699</v>
      </c>
    </row>
    <row r="59">
      <c r="A59">
        <f t="shared" si="779"/>
        <v>55</v>
      </c>
      <c r="B59">
        <v>-1.6344170686105273</v>
      </c>
      <c r="C59">
        <f t="shared" si="780"/>
        <v>4.3326324703202301</v>
      </c>
    </row>
    <row r="60">
      <c r="A60">
        <f t="shared" si="779"/>
        <v>56</v>
      </c>
      <c r="B60">
        <v>-0.63481749081468575</v>
      </c>
      <c r="C60">
        <f t="shared" si="780"/>
        <v>2.5479739748800498</v>
      </c>
    </row>
    <row r="61">
      <c r="A61">
        <f t="shared" si="779"/>
        <v>57</v>
      </c>
      <c r="B61">
        <v>1.0198933639943912</v>
      </c>
      <c r="C61">
        <f t="shared" si="780"/>
        <v>4.7024846185870501</v>
      </c>
    </row>
    <row r="62">
      <c r="A62">
        <f t="shared" si="779"/>
        <v>58</v>
      </c>
      <c r="B62">
        <v>1.2294417712870718</v>
      </c>
      <c r="C62">
        <f t="shared" si="780"/>
        <v>5.7393884532842696</v>
      </c>
    </row>
    <row r="63">
      <c r="A63">
        <f t="shared" si="779"/>
        <v>59</v>
      </c>
      <c r="B63">
        <v>3.2987612286636145</v>
      </c>
      <c r="C63">
        <f t="shared" si="780"/>
        <v>7.9134821143071497</v>
      </c>
    </row>
    <row r="64">
      <c r="A64">
        <f t="shared" si="779"/>
        <v>60</v>
      </c>
      <c r="B64">
        <v>0.64413182867804242</v>
      </c>
      <c r="C64">
        <f t="shared" si="780"/>
        <v>6.2935124430098499</v>
      </c>
    </row>
    <row r="65">
      <c r="A65">
        <f t="shared" si="779"/>
        <v>61</v>
      </c>
      <c r="B65">
        <v>-5.96350910370659e-02</v>
      </c>
      <c r="C65">
        <f t="shared" si="780"/>
        <v>4.2624308233019503</v>
      </c>
    </row>
    <row r="66">
      <c r="A66">
        <f t="shared" si="779"/>
        <v>62</v>
      </c>
      <c r="B66">
        <v>3.1563169379344984</v>
      </c>
      <c r="C66">
        <f t="shared" si="780"/>
        <v>7.1264993924159699</v>
      </c>
    </row>
    <row r="67">
      <c r="A67">
        <f t="shared" si="779"/>
        <v>63</v>
      </c>
      <c r="B67">
        <v>-2.306240088032308</v>
      </c>
      <c r="C67">
        <f t="shared" si="780"/>
        <v>3.2719183809349399</v>
      </c>
    </row>
    <row r="68">
      <c r="A68">
        <f t="shared" si="779"/>
        <v>64</v>
      </c>
      <c r="B68">
        <v>-0.4021885704054472</v>
      </c>
      <c r="C68">
        <f t="shared" si="780"/>
        <v>2.4446913855783898</v>
      </c>
    </row>
    <row r="69">
      <c r="A69">
        <f t="shared" si="779"/>
        <v>65</v>
      </c>
      <c r="B69">
        <v>-0.52759380307616421</v>
      </c>
      <c r="C69">
        <f t="shared" si="780"/>
        <v>3.2713119117211198</v>
      </c>
    </row>
    <row r="70">
      <c r="A70">
        <f t="shared" si="779"/>
        <v>66</v>
      </c>
      <c r="B70">
        <v>0.90554286799405381</v>
      </c>
      <c r="C70">
        <f t="shared" si="780"/>
        <v>4.6417459664559697</v>
      </c>
    </row>
    <row r="71">
      <c r="A71">
        <f t="shared" si="779"/>
        <v>67</v>
      </c>
      <c r="B71">
        <v>1.4839149021568461</v>
      </c>
      <c r="C71">
        <f t="shared" si="780"/>
        <v>5.9366863361538798</v>
      </c>
    </row>
    <row r="72">
      <c r="A72">
        <f t="shared" si="779"/>
        <v>68</v>
      </c>
      <c r="B72">
        <v>-0.26026620501782682</v>
      </c>
      <c r="C72">
        <f t="shared" si="780"/>
        <v>4.4816912460606</v>
      </c>
    </row>
    <row r="73">
      <c r="A73">
        <f t="shared" si="779"/>
        <v>69</v>
      </c>
      <c r="B73">
        <v>-3.3625596460355449e-02</v>
      </c>
      <c r="C73">
        <f t="shared" si="780"/>
        <v>3.8362413010307401</v>
      </c>
    </row>
    <row r="74">
      <c r="A74">
        <f t="shared" si="779"/>
        <v>70</v>
      </c>
      <c r="B74">
        <v>0.68794647636347028</v>
      </c>
      <c r="C74">
        <f t="shared" si="780"/>
        <v>4.6711336781332902</v>
      </c>
    </row>
    <row r="75">
      <c r="A75">
        <f t="shared" ref="A75:A100" si="782">A74+1</f>
        <v>71</v>
      </c>
      <c r="B75">
        <v>4.1362425453436655</v>
      </c>
      <c r="C75">
        <f t="shared" ref="C75:C99" si="783">4+B75+0.5*B74</f>
        <v>8.4802157835254093</v>
      </c>
    </row>
    <row r="76">
      <c r="A76">
        <f t="shared" si="782"/>
        <v>72</v>
      </c>
      <c r="B76">
        <v>0.45211454533455148</v>
      </c>
      <c r="C76">
        <f t="shared" si="783"/>
        <v>6.5202358180063902</v>
      </c>
    </row>
    <row r="77">
      <c r="A77">
        <f t="shared" si="782"/>
        <v>73</v>
      </c>
      <c r="B77">
        <v>1.1252631017477928</v>
      </c>
      <c r="C77">
        <f t="shared" si="783"/>
        <v>5.3513203744150699</v>
      </c>
    </row>
    <row r="78">
      <c r="A78">
        <f t="shared" si="782"/>
        <v>74</v>
      </c>
      <c r="B78">
        <v>2.0132078825187141</v>
      </c>
      <c r="C78">
        <f t="shared" si="783"/>
        <v>6.57583943339261</v>
      </c>
    </row>
    <row r="79">
      <c r="A79">
        <f t="shared" si="782"/>
        <v>75</v>
      </c>
      <c r="B79">
        <v>0.97866440297732316</v>
      </c>
      <c r="C79">
        <f t="shared" si="783"/>
        <v>5.9852683442366796</v>
      </c>
    </row>
    <row r="80">
      <c r="A80">
        <f t="shared" si="782"/>
        <v>76</v>
      </c>
      <c r="B80">
        <v>1.9269932557537806</v>
      </c>
      <c r="C80">
        <f t="shared" si="783"/>
        <v>6.41632545724244</v>
      </c>
    </row>
    <row r="81">
      <c r="A81">
        <f t="shared" si="782"/>
        <v>77</v>
      </c>
      <c r="B81">
        <v>-2.3180276622927738</v>
      </c>
      <c r="C81">
        <f t="shared" si="783"/>
        <v>2.6454689655841199</v>
      </c>
    </row>
    <row r="82">
      <c r="A82">
        <f t="shared" si="782"/>
        <v>78</v>
      </c>
      <c r="B82">
        <v>-0.91963460540494268</v>
      </c>
      <c r="C82">
        <f t="shared" si="783"/>
        <v>1.92135156344867</v>
      </c>
    </row>
    <row r="83">
      <c r="A83">
        <f t="shared" si="782"/>
        <v>79</v>
      </c>
      <c r="B83">
        <v>2.9426927083491106</v>
      </c>
      <c r="C83">
        <f t="shared" si="783"/>
        <v>6.4828754056466398</v>
      </c>
    </row>
    <row r="84">
      <c r="A84">
        <f t="shared" si="782"/>
        <v>80</v>
      </c>
      <c r="B84">
        <v>1.019377953576635</v>
      </c>
      <c r="C84">
        <f t="shared" si="783"/>
        <v>6.4907243077511998</v>
      </c>
    </row>
    <row r="85">
      <c r="A85">
        <f t="shared" si="782"/>
        <v>81</v>
      </c>
      <c r="B85">
        <v>1.6847808127539263</v>
      </c>
      <c r="C85">
        <f t="shared" si="783"/>
        <v>6.19446978954225</v>
      </c>
    </row>
    <row r="86">
      <c r="A86">
        <f t="shared" si="782"/>
        <v>82</v>
      </c>
      <c r="B86">
        <v>-2.8579362242959387</v>
      </c>
      <c r="C86">
        <f t="shared" si="783"/>
        <v>1.98445418208103</v>
      </c>
    </row>
    <row r="87">
      <c r="A87">
        <f t="shared" si="782"/>
        <v>83</v>
      </c>
      <c r="B87">
        <v>-4.613725323851007</v>
      </c>
      <c r="C87">
        <f t="shared" si="783"/>
        <v>-2.0426934359989799</v>
      </c>
    </row>
    <row r="88">
      <c r="A88">
        <f t="shared" si="782"/>
        <v>84</v>
      </c>
      <c r="B88">
        <v>3.5477982444532903</v>
      </c>
      <c r="C88">
        <f t="shared" si="783"/>
        <v>5.2409355825277801</v>
      </c>
    </row>
    <row r="89">
      <c r="A89">
        <f t="shared" si="782"/>
        <v>85</v>
      </c>
      <c r="B89">
        <v>0.97853828339675197</v>
      </c>
      <c r="C89">
        <f t="shared" si="783"/>
        <v>6.7524374056234002</v>
      </c>
    </row>
    <row r="90">
      <c r="A90">
        <f t="shared" si="782"/>
        <v>86</v>
      </c>
      <c r="B90">
        <v>-2.838830967052405</v>
      </c>
      <c r="C90">
        <f t="shared" si="783"/>
        <v>1.65043817464597</v>
      </c>
    </row>
    <row r="91">
      <c r="A91">
        <f t="shared" si="782"/>
        <v>87</v>
      </c>
      <c r="B91">
        <v>0.34123210128753367</v>
      </c>
      <c r="C91">
        <f t="shared" si="783"/>
        <v>2.9218166177613201</v>
      </c>
    </row>
    <row r="92">
      <c r="A92">
        <f t="shared" si="782"/>
        <v>88</v>
      </c>
      <c r="B92">
        <v>1.5246885661775635</v>
      </c>
      <c r="C92">
        <f t="shared" si="783"/>
        <v>5.6953046168213302</v>
      </c>
    </row>
    <row r="93">
      <c r="A93">
        <f t="shared" si="782"/>
        <v>89</v>
      </c>
      <c r="B93">
        <v>0.16292493668327629</v>
      </c>
      <c r="C93">
        <f t="shared" si="783"/>
        <v>4.9252692197720602</v>
      </c>
    </row>
    <row r="94">
      <c r="A94">
        <f t="shared" si="782"/>
        <v>90</v>
      </c>
      <c r="B94">
        <v>-1.7796863231619184</v>
      </c>
      <c r="C94">
        <f t="shared" si="783"/>
        <v>2.3017761451797201</v>
      </c>
    </row>
    <row r="95">
      <c r="A95">
        <f t="shared" si="782"/>
        <v>91</v>
      </c>
      <c r="B95">
        <v>-1.3228790100716219</v>
      </c>
      <c r="C95">
        <f t="shared" si="783"/>
        <v>1.78727782834742</v>
      </c>
    </row>
    <row r="96">
      <c r="A96">
        <f t="shared" si="782"/>
        <v>92</v>
      </c>
      <c r="B96">
        <v>2.080778396870429</v>
      </c>
      <c r="C96">
        <f t="shared" si="783"/>
        <v>5.4193388918346201</v>
      </c>
    </row>
    <row r="97">
      <c r="A97">
        <f t="shared" si="782"/>
        <v>93</v>
      </c>
      <c r="B97">
        <v>-2.2197549924019668</v>
      </c>
      <c r="C97">
        <f t="shared" si="783"/>
        <v>2.8206342060332501</v>
      </c>
    </row>
    <row r="98">
      <c r="A98">
        <f t="shared" si="782"/>
        <v>94</v>
      </c>
      <c r="B98">
        <v>0.90609105867690243</v>
      </c>
      <c r="C98">
        <f t="shared" si="783"/>
        <v>3.7962135624759101</v>
      </c>
    </row>
    <row r="99">
      <c r="A99">
        <f t="shared" si="782"/>
        <v>95</v>
      </c>
      <c r="B99">
        <v>1.7045878815396458</v>
      </c>
      <c r="C99">
        <f t="shared" si="783"/>
        <v>6.1576334108781001</v>
      </c>
    </row>
    <row r="100">
      <c r="A100">
        <f t="shared" si="782"/>
        <v>96</v>
      </c>
      <c r="B100">
        <v>-1.8927044624652218</v>
      </c>
      <c r="C100">
        <f>4+B100+0.5*B99</f>
        <v>2.9595894783046099</v>
      </c>
    </row>
    <row r="101">
      <c r="A101">
        <f t="shared" ref="A101:A164" si="784">A100+1</f>
        <v>97</v>
      </c>
      <c r="B101">
        <v>-3.0190432616494278</v>
      </c>
      <c r="C101">
        <f t="shared" ref="C101:C164" si="785">4+B101+0.5*B100</f>
        <v>3.4604507117960009e-02</v>
      </c>
    </row>
    <row r="102">
      <c r="A102">
        <f t="shared" si="784"/>
        <v>98</v>
      </c>
      <c r="B102">
        <v>-0.38493372959890088</v>
      </c>
      <c r="C102">
        <f t="shared" si="785"/>
        <v>2.1055446395763799</v>
      </c>
    </row>
    <row r="103">
      <c r="A103">
        <f t="shared" si="784"/>
        <v>99</v>
      </c>
      <c r="B103">
        <v>2.4144439404005369</v>
      </c>
      <c r="C103">
        <f t="shared" si="785"/>
        <v>6.2219770756010897</v>
      </c>
    </row>
    <row r="104">
      <c r="A104">
        <f t="shared" si="784"/>
        <v>100</v>
      </c>
      <c r="B104">
        <v>-1.8267656438809119</v>
      </c>
      <c r="C104">
        <f t="shared" si="785"/>
        <v>3.3804563263193601</v>
      </c>
    </row>
    <row r="105">
      <c r="A105">
        <f t="shared" si="784"/>
        <v>101</v>
      </c>
      <c r="B105">
        <v>-4.6720387536128962</v>
      </c>
      <c r="C105">
        <f t="shared" si="785"/>
        <v>-1.5854215755533601</v>
      </c>
    </row>
    <row r="106">
      <c r="A106">
        <f t="shared" si="784"/>
        <v>102</v>
      </c>
      <c r="B106">
        <v>-0.67969721022420559</v>
      </c>
      <c r="C106">
        <f t="shared" si="785"/>
        <v>0.98428341296933985</v>
      </c>
    </row>
    <row r="107">
      <c r="A107">
        <f t="shared" si="784"/>
        <v>103</v>
      </c>
      <c r="B107">
        <v>1.0235786471187305</v>
      </c>
      <c r="C107">
        <f t="shared" si="785"/>
        <v>4.6837300420066299</v>
      </c>
    </row>
    <row r="108">
      <c r="A108">
        <f t="shared" si="784"/>
        <v>104</v>
      </c>
      <c r="B108">
        <v>2.327447608275897</v>
      </c>
      <c r="C108">
        <f t="shared" si="785"/>
        <v>6.8392369318352699</v>
      </c>
    </row>
    <row r="109">
      <c r="A109">
        <f t="shared" si="784"/>
        <v>105</v>
      </c>
      <c r="B109">
        <v>1.0316260251136307</v>
      </c>
      <c r="C109">
        <f t="shared" si="785"/>
        <v>6.1953498292515796</v>
      </c>
    </row>
    <row r="110">
      <c r="A110">
        <f t="shared" si="784"/>
        <v>106</v>
      </c>
      <c r="B110">
        <v>-1.2512099401749279</v>
      </c>
      <c r="C110">
        <f t="shared" si="785"/>
        <v>3.26460307238189</v>
      </c>
    </row>
    <row r="111">
      <c r="A111">
        <f t="shared" si="784"/>
        <v>107</v>
      </c>
      <c r="B111">
        <v>0.10921803350296348</v>
      </c>
      <c r="C111">
        <f t="shared" si="785"/>
        <v>3.4836130634155098</v>
      </c>
    </row>
    <row r="112">
      <c r="A112">
        <f t="shared" si="784"/>
        <v>108</v>
      </c>
      <c r="B112">
        <v>2.4070936899250017</v>
      </c>
      <c r="C112">
        <f t="shared" si="785"/>
        <v>6.4617027066764798</v>
      </c>
    </row>
    <row r="113">
      <c r="A113">
        <f t="shared" si="784"/>
        <v>109</v>
      </c>
      <c r="B113">
        <v>0.53299160907781618</v>
      </c>
      <c r="C113">
        <f t="shared" si="785"/>
        <v>5.7365384540403204</v>
      </c>
    </row>
    <row r="114">
      <c r="A114">
        <f t="shared" si="784"/>
        <v>110</v>
      </c>
      <c r="B114">
        <v>1.9257606977912869</v>
      </c>
      <c r="C114">
        <f t="shared" si="785"/>
        <v>6.1922565023302001</v>
      </c>
    </row>
    <row r="115">
      <c r="A115">
        <f t="shared" si="784"/>
        <v>111</v>
      </c>
      <c r="B115">
        <v>0.54030589728212797</v>
      </c>
      <c r="C115">
        <f t="shared" si="785"/>
        <v>5.5031862461777799</v>
      </c>
    </row>
    <row r="116">
      <c r="A116">
        <f t="shared" si="784"/>
        <v>112</v>
      </c>
      <c r="B116">
        <v>-0.11988049646136403</v>
      </c>
      <c r="C116">
        <f t="shared" si="785"/>
        <v>4.1502724521797099</v>
      </c>
    </row>
    <row r="117">
      <c r="A117">
        <f t="shared" si="784"/>
        <v>113</v>
      </c>
      <c r="B117">
        <v>-1.1086237225183357</v>
      </c>
      <c r="C117">
        <f t="shared" si="785"/>
        <v>2.8314360292509799</v>
      </c>
    </row>
    <row r="118">
      <c r="A118">
        <f t="shared" si="784"/>
        <v>114</v>
      </c>
      <c r="B118">
        <v>-0.73079447698851874</v>
      </c>
      <c r="C118">
        <f t="shared" si="785"/>
        <v>2.7148936617523098</v>
      </c>
    </row>
    <row r="119">
      <c r="A119">
        <f t="shared" si="784"/>
        <v>115</v>
      </c>
      <c r="B119">
        <v>-0.26398126148652912</v>
      </c>
      <c r="C119">
        <f t="shared" si="785"/>
        <v>3.3706215000192099</v>
      </c>
    </row>
    <row r="120">
      <c r="A120">
        <f t="shared" si="784"/>
        <v>116</v>
      </c>
      <c r="B120">
        <v>-0.69838242135073392</v>
      </c>
      <c r="C120">
        <f t="shared" si="785"/>
        <v>3.1696269479060102</v>
      </c>
    </row>
    <row r="121">
      <c r="A121">
        <f t="shared" si="784"/>
        <v>117</v>
      </c>
      <c r="B121">
        <v>9.8942406605733099e-02</v>
      </c>
      <c r="C121">
        <f t="shared" si="785"/>
        <v>3.7497511959303602</v>
      </c>
    </row>
    <row r="122">
      <c r="A122">
        <f t="shared" si="784"/>
        <v>118</v>
      </c>
      <c r="B122">
        <v>1.5426608666299271</v>
      </c>
      <c r="C122">
        <f t="shared" si="785"/>
        <v>5.5921320699328003</v>
      </c>
    </row>
    <row r="123">
      <c r="A123">
        <f t="shared" si="784"/>
        <v>119</v>
      </c>
      <c r="B123">
        <v>2.8236106327357645e-02</v>
      </c>
      <c r="C123">
        <f t="shared" si="785"/>
        <v>4.7995665396423304</v>
      </c>
    </row>
    <row r="124">
      <c r="A124">
        <f t="shared" si="784"/>
        <v>120</v>
      </c>
      <c r="B124">
        <v>3.7298519177469367</v>
      </c>
      <c r="C124">
        <f t="shared" si="785"/>
        <v>7.7439699709106202</v>
      </c>
    </row>
    <row r="125">
      <c r="A125">
        <f t="shared" si="784"/>
        <v>121</v>
      </c>
      <c r="B125">
        <v>-0.13576211991055853</v>
      </c>
      <c r="C125">
        <f t="shared" si="785"/>
        <v>5.7291638389629096</v>
      </c>
    </row>
    <row r="126">
      <c r="A126">
        <f t="shared" si="784"/>
        <v>122</v>
      </c>
      <c r="B126">
        <v>0.28565924067400528</v>
      </c>
      <c r="C126">
        <f t="shared" si="785"/>
        <v>4.2177781807187298</v>
      </c>
    </row>
    <row r="127">
      <c r="A127">
        <f t="shared" si="784"/>
        <v>123</v>
      </c>
      <c r="B127">
        <v>-1.4558091954319821</v>
      </c>
      <c r="C127">
        <f t="shared" si="785"/>
        <v>2.68702042490502</v>
      </c>
    </row>
    <row r="128">
      <c r="A128">
        <f t="shared" si="784"/>
        <v>124</v>
      </c>
      <c r="B128">
        <v>-0.40784678043201356</v>
      </c>
      <c r="C128">
        <f t="shared" si="785"/>
        <v>2.864248621852</v>
      </c>
    </row>
    <row r="129">
      <c r="A129">
        <f t="shared" si="784"/>
        <v>125</v>
      </c>
      <c r="B129">
        <v>2.1343551379439551</v>
      </c>
      <c r="C129">
        <f t="shared" si="785"/>
        <v>5.9304317477279502</v>
      </c>
    </row>
    <row r="130">
      <c r="A130">
        <f t="shared" si="784"/>
        <v>126</v>
      </c>
      <c r="B130">
        <v>-1.5491149335966881</v>
      </c>
      <c r="C130">
        <f t="shared" si="785"/>
        <v>3.5180626353752902</v>
      </c>
    </row>
    <row r="131">
      <c r="A131">
        <f t="shared" si="784"/>
        <v>127</v>
      </c>
      <c r="B131">
        <v>-7.9749871774825495e-02</v>
      </c>
      <c r="C131">
        <f t="shared" si="785"/>
        <v>3.1456926614268301</v>
      </c>
    </row>
    <row r="132">
      <c r="A132">
        <f t="shared" si="784"/>
        <v>128</v>
      </c>
      <c r="B132">
        <v>4.3903436969936607e-02</v>
      </c>
      <c r="C132">
        <f t="shared" si="785"/>
        <v>4.0040285010825301</v>
      </c>
    </row>
    <row r="133">
      <c r="A133">
        <f t="shared" si="784"/>
        <v>129</v>
      </c>
      <c r="B133">
        <v>-0.27009948997537042</v>
      </c>
      <c r="C133">
        <f t="shared" si="785"/>
        <v>3.7518522285096001</v>
      </c>
    </row>
    <row r="134">
      <c r="A134">
        <f t="shared" si="784"/>
        <v>130</v>
      </c>
      <c r="B134">
        <v>5.0453329047212323</v>
      </c>
      <c r="C134">
        <f t="shared" si="785"/>
        <v>8.9102831597335506</v>
      </c>
    </row>
    <row r="135">
      <c r="A135">
        <f t="shared" si="784"/>
        <v>131</v>
      </c>
      <c r="B135">
        <v>0.51053066687885029</v>
      </c>
      <c r="C135">
        <f t="shared" si="785"/>
        <v>7.0331971192394702</v>
      </c>
    </row>
    <row r="136">
      <c r="A136">
        <f t="shared" si="784"/>
        <v>132</v>
      </c>
      <c r="B136">
        <v>0.62138390886575301</v>
      </c>
      <c r="C136">
        <f t="shared" si="785"/>
        <v>4.8766492423051799</v>
      </c>
    </row>
    <row r="137">
      <c r="A137">
        <f t="shared" si="784"/>
        <v>133</v>
      </c>
      <c r="B137">
        <v>2.2475382984199679</v>
      </c>
      <c r="C137">
        <f t="shared" si="785"/>
        <v>6.5582302528528498</v>
      </c>
    </row>
    <row r="138">
      <c r="A138">
        <f t="shared" si="784"/>
        <v>134</v>
      </c>
      <c r="B138">
        <v>-0.62013908128748474</v>
      </c>
      <c r="C138">
        <f t="shared" si="785"/>
        <v>4.5036300679225096</v>
      </c>
    </row>
    <row r="139">
      <c r="A139">
        <f t="shared" si="784"/>
        <v>135</v>
      </c>
      <c r="B139">
        <v>0.55435670358155276</v>
      </c>
      <c r="C139">
        <f t="shared" si="785"/>
        <v>4.2442871629378098</v>
      </c>
    </row>
    <row r="140">
      <c r="A140">
        <f t="shared" si="784"/>
        <v>136</v>
      </c>
      <c r="B140">
        <v>-4.8587617165446284</v>
      </c>
      <c r="C140">
        <f t="shared" si="785"/>
        <v>-0.58158336475385297</v>
      </c>
    </row>
    <row r="141">
      <c r="A141">
        <f t="shared" si="784"/>
        <v>137</v>
      </c>
      <c r="B141">
        <v>-0.24725173442981468</v>
      </c>
      <c r="C141">
        <f t="shared" si="785"/>
        <v>1.3233674072978701</v>
      </c>
    </row>
    <row r="142">
      <c r="A142">
        <f t="shared" si="784"/>
        <v>138</v>
      </c>
      <c r="B142">
        <v>-0.3847277234505741</v>
      </c>
      <c r="C142">
        <f t="shared" si="785"/>
        <v>3.4916464093345199</v>
      </c>
    </row>
    <row r="143">
      <c r="A143">
        <f t="shared" si="784"/>
        <v>139</v>
      </c>
      <c r="B143">
        <v>-2.1433699121846428</v>
      </c>
      <c r="C143">
        <f t="shared" si="785"/>
        <v>1.66426622609007</v>
      </c>
    </row>
    <row r="144">
      <c r="A144">
        <f t="shared" si="784"/>
        <v>140</v>
      </c>
      <c r="B144">
        <v>-2.8293252062742349</v>
      </c>
      <c r="C144">
        <f t="shared" si="785"/>
        <v>9.8989837633440006e-02</v>
      </c>
    </row>
    <row r="145">
      <c r="A145">
        <f t="shared" si="784"/>
        <v>141</v>
      </c>
      <c r="B145">
        <v>-4.6406597913258025</v>
      </c>
      <c r="C145">
        <f t="shared" si="785"/>
        <v>-2.05532239446292</v>
      </c>
    </row>
    <row r="146">
      <c r="A146">
        <f t="shared" si="784"/>
        <v>142</v>
      </c>
      <c r="B146">
        <v>4.4023595282677244</v>
      </c>
      <c r="C146">
        <f t="shared" si="785"/>
        <v>6.0820296326048302</v>
      </c>
    </row>
    <row r="147">
      <c r="A147">
        <f t="shared" si="784"/>
        <v>143</v>
      </c>
      <c r="B147">
        <v>1.0380237781213144</v>
      </c>
      <c r="C147">
        <f t="shared" si="785"/>
        <v>7.2392035422551801</v>
      </c>
    </row>
    <row r="148">
      <c r="A148">
        <f t="shared" si="784"/>
        <v>144</v>
      </c>
      <c r="B148">
        <v>-3.0733209607626568</v>
      </c>
      <c r="C148">
        <f t="shared" si="785"/>
        <v>1.4456909282979999</v>
      </c>
    </row>
    <row r="149">
      <c r="A149">
        <f t="shared" si="784"/>
        <v>145</v>
      </c>
      <c r="B149">
        <v>-1.2141125550648808</v>
      </c>
      <c r="C149">
        <f t="shared" si="785"/>
        <v>1.2492269645537899</v>
      </c>
    </row>
    <row r="150">
      <c r="A150">
        <f t="shared" si="784"/>
        <v>146</v>
      </c>
      <c r="B150">
        <v>0.89348266296512779</v>
      </c>
      <c r="C150">
        <f t="shared" si="785"/>
        <v>4.2864263854326898</v>
      </c>
    </row>
    <row r="151">
      <c r="A151">
        <f t="shared" si="784"/>
        <v>147</v>
      </c>
      <c r="B151">
        <v>2.3436799367168093</v>
      </c>
      <c r="C151">
        <f t="shared" si="785"/>
        <v>6.7904212681993696</v>
      </c>
    </row>
    <row r="152">
      <c r="A152">
        <f t="shared" si="784"/>
        <v>148</v>
      </c>
      <c r="B152">
        <v>2.9325155604201338</v>
      </c>
      <c r="C152">
        <f t="shared" si="785"/>
        <v>8.1043555287785392</v>
      </c>
    </row>
    <row r="153">
      <c r="A153">
        <f t="shared" si="784"/>
        <v>149</v>
      </c>
      <c r="B153">
        <v>0.14367537059120353</v>
      </c>
      <c r="C153">
        <f t="shared" si="785"/>
        <v>5.60993315080127</v>
      </c>
    </row>
    <row r="154">
      <c r="A154">
        <f t="shared" si="784"/>
        <v>150</v>
      </c>
      <c r="B154">
        <v>-3.9529352242002846</v>
      </c>
      <c r="C154">
        <f t="shared" si="785"/>
        <v>0.118902461095312</v>
      </c>
    </row>
    <row r="155">
      <c r="A155">
        <f t="shared" si="784"/>
        <v>151</v>
      </c>
      <c r="B155">
        <v>5.5613094153478082</v>
      </c>
      <c r="C155">
        <f t="shared" si="785"/>
        <v>7.5848418032476603</v>
      </c>
    </row>
    <row r="156">
      <c r="A156">
        <f t="shared" si="784"/>
        <v>152</v>
      </c>
      <c r="B156">
        <v>-0.1001986443622106</v>
      </c>
      <c r="C156">
        <f t="shared" si="785"/>
        <v>6.6804560633117003</v>
      </c>
    </row>
    <row r="157">
      <c r="A157">
        <f t="shared" si="784"/>
        <v>153</v>
      </c>
      <c r="B157">
        <v>-0.66606758365839613</v>
      </c>
      <c r="C157">
        <f t="shared" si="785"/>
        <v>3.2838330941604901</v>
      </c>
    </row>
    <row r="158">
      <c r="A158">
        <f t="shared" si="784"/>
        <v>154</v>
      </c>
      <c r="B158">
        <v>-2.0981399943381884</v>
      </c>
      <c r="C158">
        <f t="shared" si="785"/>
        <v>1.5688262138326099</v>
      </c>
    </row>
    <row r="159">
      <c r="A159">
        <f t="shared" si="784"/>
        <v>155</v>
      </c>
      <c r="B159">
        <v>1.2251159106662934</v>
      </c>
      <c r="C159">
        <f t="shared" si="785"/>
        <v>4.1760459134971901</v>
      </c>
    </row>
    <row r="160">
      <c r="A160">
        <f t="shared" si="784"/>
        <v>156</v>
      </c>
      <c r="B160">
        <v>-0.12676325993953469</v>
      </c>
      <c r="C160">
        <f t="shared" si="785"/>
        <v>4.4857946953936203</v>
      </c>
    </row>
    <row r="161">
      <c r="A161">
        <f t="shared" si="784"/>
        <v>157</v>
      </c>
      <c r="B161">
        <v>1.1570064245985454</v>
      </c>
      <c r="C161">
        <f t="shared" si="785"/>
        <v>5.0936247946287798</v>
      </c>
    </row>
    <row r="162">
      <c r="A162">
        <f t="shared" si="784"/>
        <v>158</v>
      </c>
      <c r="B162">
        <v>0.40989502220620444</v>
      </c>
      <c r="C162">
        <f t="shared" si="785"/>
        <v>4.9883982345054898</v>
      </c>
    </row>
    <row r="163">
      <c r="A163">
        <f t="shared" si="784"/>
        <v>159</v>
      </c>
      <c r="B163">
        <v>2.2936521170715727</v>
      </c>
      <c r="C163">
        <f t="shared" si="785"/>
        <v>6.4985996281746701</v>
      </c>
    </row>
    <row r="164">
      <c r="A164">
        <f t="shared" si="784"/>
        <v>160</v>
      </c>
      <c r="B164">
        <v>2.4857117999045872</v>
      </c>
      <c r="C164">
        <f t="shared" si="785"/>
        <v>7.6325378584403802</v>
      </c>
    </row>
    <row r="165">
      <c r="A165">
        <f t="shared" ref="A165:A204" si="786">A164+1</f>
        <v>161</v>
      </c>
      <c r="B165">
        <v>0.69550043821023466</v>
      </c>
      <c r="C165">
        <f t="shared" ref="C165:C204" si="787">4+B165+0.5*B164</f>
        <v>5.9383563381625404</v>
      </c>
    </row>
    <row r="166">
      <c r="A166">
        <f t="shared" si="786"/>
        <v>162</v>
      </c>
      <c r="B166">
        <v>0.6039917171120085</v>
      </c>
      <c r="C166">
        <f t="shared" si="787"/>
        <v>4.9517419362171298</v>
      </c>
    </row>
    <row r="167">
      <c r="A167">
        <f t="shared" si="786"/>
        <v>163</v>
      </c>
      <c r="B167">
        <v>1.6834379817024707</v>
      </c>
      <c r="C167">
        <f t="shared" si="787"/>
        <v>5.9854338402584801</v>
      </c>
    </row>
    <row r="168">
      <c r="A168">
        <f t="shared" si="786"/>
        <v>164</v>
      </c>
      <c r="B168">
        <v>4.4919622321583965</v>
      </c>
      <c r="C168">
        <f t="shared" si="787"/>
        <v>9.3336812230096395</v>
      </c>
    </row>
    <row r="169">
      <c r="A169">
        <f t="shared" si="786"/>
        <v>165</v>
      </c>
      <c r="B169">
        <v>-2.897366653451952</v>
      </c>
      <c r="C169">
        <f t="shared" si="787"/>
        <v>3.3486144626272498</v>
      </c>
    </row>
    <row r="170">
      <c r="A170">
        <f t="shared" si="786"/>
        <v>166</v>
      </c>
      <c r="B170">
        <v>-0.23696162345469679</v>
      </c>
      <c r="C170">
        <f t="shared" si="787"/>
        <v>2.3143550498193202</v>
      </c>
    </row>
    <row r="171">
      <c r="A171">
        <f t="shared" si="786"/>
        <v>167</v>
      </c>
      <c r="B171">
        <v>0.74425925362625922</v>
      </c>
      <c r="C171">
        <f t="shared" si="787"/>
        <v>4.6257784418989099</v>
      </c>
    </row>
    <row r="172">
      <c r="A172">
        <f t="shared" si="786"/>
        <v>168</v>
      </c>
      <c r="B172">
        <v>0.31255868255619462</v>
      </c>
      <c r="C172">
        <f t="shared" si="787"/>
        <v>4.6846883093693297</v>
      </c>
    </row>
    <row r="173">
      <c r="A173">
        <f t="shared" si="786"/>
        <v>169</v>
      </c>
      <c r="B173">
        <v>1.7117356908427732</v>
      </c>
      <c r="C173">
        <f t="shared" si="787"/>
        <v>5.8680150321208702</v>
      </c>
    </row>
    <row r="174">
      <c r="A174">
        <f t="shared" si="786"/>
        <v>170</v>
      </c>
      <c r="B174">
        <v>1.4092291935456605</v>
      </c>
      <c r="C174">
        <f t="shared" si="787"/>
        <v>6.2650970389670499</v>
      </c>
    </row>
    <row r="175">
      <c r="A175">
        <f t="shared" si="786"/>
        <v>171</v>
      </c>
      <c r="B175">
        <v>-1.0444935398867643</v>
      </c>
      <c r="C175">
        <f t="shared" si="787"/>
        <v>3.6601210568860698</v>
      </c>
    </row>
    <row r="176">
      <c r="A176">
        <f t="shared" si="786"/>
        <v>172</v>
      </c>
      <c r="B176">
        <v>2.0468577626200242</v>
      </c>
      <c r="C176">
        <f t="shared" si="787"/>
        <v>5.5246109926766396</v>
      </c>
    </row>
    <row r="177">
      <c r="A177">
        <f t="shared" si="786"/>
        <v>173</v>
      </c>
      <c r="B177">
        <v>1.0181519976236175</v>
      </c>
      <c r="C177">
        <f t="shared" si="787"/>
        <v>6.0415808789336296</v>
      </c>
    </row>
    <row r="178">
      <c r="A178">
        <f t="shared" si="786"/>
        <v>174</v>
      </c>
      <c r="B178">
        <v>-0.14413909445669246</v>
      </c>
      <c r="C178">
        <f t="shared" si="787"/>
        <v>4.3649369043551198</v>
      </c>
    </row>
    <row r="179">
      <c r="A179">
        <f t="shared" si="786"/>
        <v>175</v>
      </c>
      <c r="B179">
        <v>-3.1624769047698686</v>
      </c>
      <c r="C179">
        <f t="shared" si="787"/>
        <v>0.765453548001784</v>
      </c>
    </row>
    <row r="180">
      <c r="A180">
        <f t="shared" si="786"/>
        <v>176</v>
      </c>
      <c r="B180">
        <v>1.0643808418547649</v>
      </c>
      <c r="C180">
        <f t="shared" si="787"/>
        <v>3.4831423894698301</v>
      </c>
    </row>
    <row r="181">
      <c r="A181">
        <f t="shared" si="786"/>
        <v>177</v>
      </c>
      <c r="B181">
        <v>-0.37541754431011487</v>
      </c>
      <c r="C181">
        <f t="shared" si="787"/>
        <v>4.1567728766172802</v>
      </c>
    </row>
    <row r="182">
      <c r="A182">
        <f t="shared" si="786"/>
        <v>178</v>
      </c>
      <c r="B182">
        <v>-1.3024912863125959</v>
      </c>
      <c r="C182">
        <f t="shared" si="787"/>
        <v>2.5097999415323402</v>
      </c>
    </row>
    <row r="183">
      <c r="A183">
        <f t="shared" si="786"/>
        <v>179</v>
      </c>
      <c r="B183">
        <v>0.14623880979302159</v>
      </c>
      <c r="C183">
        <f t="shared" si="787"/>
        <v>3.49499316663672</v>
      </c>
    </row>
    <row r="184">
      <c r="A184">
        <f t="shared" si="786"/>
        <v>180</v>
      </c>
      <c r="B184">
        <v>-0.79752555006842474</v>
      </c>
      <c r="C184">
        <f t="shared" si="787"/>
        <v>3.2755938548280898</v>
      </c>
    </row>
    <row r="185">
      <c r="A185">
        <f t="shared" si="786"/>
        <v>181</v>
      </c>
      <c r="B185">
        <v>2.1337494089782312</v>
      </c>
      <c r="C185">
        <f t="shared" si="787"/>
        <v>5.7349866339440201</v>
      </c>
    </row>
    <row r="186">
      <c r="A186">
        <f t="shared" si="786"/>
        <v>182</v>
      </c>
      <c r="B186">
        <v>-7.5519709735454965e-02</v>
      </c>
      <c r="C186">
        <f t="shared" si="787"/>
        <v>4.9913549947536699</v>
      </c>
    </row>
    <row r="187">
      <c r="A187">
        <f t="shared" si="786"/>
        <v>183</v>
      </c>
      <c r="B187">
        <v>-1.6639090449239911</v>
      </c>
      <c r="C187">
        <f t="shared" si="787"/>
        <v>2.29833110020828</v>
      </c>
    </row>
    <row r="188">
      <c r="A188">
        <f t="shared" si="786"/>
        <v>184</v>
      </c>
      <c r="B188">
        <v>1.5086760682566831</v>
      </c>
      <c r="C188">
        <f t="shared" si="787"/>
        <v>4.67672154579469</v>
      </c>
    </row>
    <row r="189">
      <c r="A189">
        <f t="shared" si="786"/>
        <v>185</v>
      </c>
      <c r="B189">
        <v>2.3902319500511857</v>
      </c>
      <c r="C189">
        <f t="shared" si="787"/>
        <v>7.1445699841795296</v>
      </c>
    </row>
    <row r="190">
      <c r="A190">
        <f t="shared" si="786"/>
        <v>186</v>
      </c>
      <c r="B190">
        <v>-3.3171698035556143</v>
      </c>
      <c r="C190">
        <f t="shared" si="787"/>
        <v>1.8779461714699901</v>
      </c>
    </row>
    <row r="191">
      <c r="A191">
        <f t="shared" si="786"/>
        <v>187</v>
      </c>
      <c r="B191">
        <v>1.0781329144528979</v>
      </c>
      <c r="C191">
        <f t="shared" si="787"/>
        <v>3.4195480126750901</v>
      </c>
    </row>
    <row r="192">
      <c r="A192">
        <f t="shared" si="786"/>
        <v>188</v>
      </c>
      <c r="B192">
        <v>1.5567309462376924</v>
      </c>
      <c r="C192">
        <f t="shared" si="787"/>
        <v>6.0957974034641396</v>
      </c>
    </row>
    <row r="193">
      <c r="A193">
        <f t="shared" si="786"/>
        <v>189</v>
      </c>
      <c r="B193">
        <v>2.3070163158394528</v>
      </c>
      <c r="C193">
        <f t="shared" si="787"/>
        <v>7.0853817889583004</v>
      </c>
    </row>
    <row r="194">
      <c r="A194">
        <f t="shared" si="786"/>
        <v>190</v>
      </c>
      <c r="B194">
        <v>0.55441335405162306</v>
      </c>
      <c r="C194">
        <f t="shared" si="787"/>
        <v>5.7079215119713496</v>
      </c>
    </row>
    <row r="195">
      <c r="A195">
        <f t="shared" si="786"/>
        <v>191</v>
      </c>
      <c r="B195">
        <v>-1.9751380436788943</v>
      </c>
      <c r="C195">
        <f t="shared" si="787"/>
        <v>2.30206863334692</v>
      </c>
    </row>
    <row r="196">
      <c r="A196">
        <f t="shared" si="786"/>
        <v>192</v>
      </c>
      <c r="B196">
        <v>0.91198382356160401</v>
      </c>
      <c r="C196">
        <f t="shared" si="787"/>
        <v>3.9244148017221501</v>
      </c>
    </row>
    <row r="197">
      <c r="A197">
        <f t="shared" si="786"/>
        <v>193</v>
      </c>
      <c r="B197">
        <v>-0.81463532483798784</v>
      </c>
      <c r="C197">
        <f t="shared" si="787"/>
        <v>3.6413565869428099</v>
      </c>
    </row>
    <row r="198">
      <c r="A198">
        <f t="shared" si="786"/>
        <v>194</v>
      </c>
      <c r="B198">
        <v>0.49076938257403002</v>
      </c>
      <c r="C198">
        <f t="shared" si="787"/>
        <v>4.0834517201550398</v>
      </c>
    </row>
    <row r="199">
      <c r="A199">
        <f t="shared" si="786"/>
        <v>195</v>
      </c>
      <c r="B199">
        <v>-2.2885601654883678</v>
      </c>
      <c r="C199">
        <f t="shared" si="787"/>
        <v>1.9568245257986501</v>
      </c>
    </row>
    <row r="200">
      <c r="A200">
        <f t="shared" si="786"/>
        <v>196</v>
      </c>
      <c r="B200">
        <v>0.93023171808179261</v>
      </c>
      <c r="C200">
        <f t="shared" si="787"/>
        <v>3.7859516353376002</v>
      </c>
    </row>
    <row r="201">
      <c r="A201">
        <f t="shared" si="786"/>
        <v>197</v>
      </c>
      <c r="B201">
        <v>0.79644074037922385</v>
      </c>
      <c r="C201">
        <f t="shared" si="787"/>
        <v>5.2615565994201301</v>
      </c>
    </row>
    <row r="202">
      <c r="A202">
        <f t="shared" si="786"/>
        <v>198</v>
      </c>
      <c r="B202">
        <v>4.1441833756284643</v>
      </c>
      <c r="C202">
        <f t="shared" si="787"/>
        <v>8.5424037458180795</v>
      </c>
    </row>
    <row r="203">
      <c r="A203">
        <f t="shared" si="786"/>
        <v>199</v>
      </c>
      <c r="B203">
        <v>-0.81179966656030955</v>
      </c>
      <c r="C203">
        <f t="shared" si="787"/>
        <v>5.2602920212539299</v>
      </c>
    </row>
    <row r="204">
      <c r="A204">
        <f t="shared" si="786"/>
        <v>200</v>
      </c>
      <c r="B204" s="14">
        <v>-1.9638608721279489</v>
      </c>
      <c r="C204" s="14">
        <f t="shared" si="787"/>
        <v>1.6302392945919</v>
      </c>
      <c r="E204" s="15" t="s">
        <v>341</v>
      </c>
      <c r="F204">
        <f>VAR(C6:C204)</f>
        <v>4.4625975619998099</v>
      </c>
    </row>
    <row r="206">
      <c r="B206" t="s">
        <v>514</v>
      </c>
    </row>
    <row r="207">
      <c r="B20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7232139999999996"/>
    <col customWidth="1" min="4" max="4" width="3.1785709999999998"/>
    <col customWidth="1" min="5" max="5" style="15" width="3.723214"/>
    <col customWidth="1" min="6" max="7" width="10.723214"/>
    <col customWidth="1" min="18" max="18" width="11.178571"/>
  </cols>
  <sheetData>
    <row r="1">
      <c r="A1" s="1" t="s">
        <v>513</v>
      </c>
    </row>
    <row r="2">
      <c r="A2" s="1"/>
    </row>
    <row r="3">
      <c r="A3" s="1"/>
    </row>
    <row r="4">
      <c r="B4" s="4" t="s">
        <v>342</v>
      </c>
      <c r="C4" s="4" t="s">
        <v>343</v>
      </c>
      <c r="E4" s="4" t="s">
        <v>291</v>
      </c>
      <c r="F4" s="4" t="s">
        <v>328</v>
      </c>
      <c r="G4" s="4" t="s">
        <v>438</v>
      </c>
      <c r="Q4" s="4" t="s">
        <v>291</v>
      </c>
      <c r="R4" s="4" t="s">
        <v>438</v>
      </c>
    </row>
    <row r="5">
      <c r="A5">
        <v>1</v>
      </c>
      <c r="B5">
        <v>-0.69420091468668932</v>
      </c>
      <c r="E5" s="15">
        <v>1</v>
      </c>
      <c r="F5" t="e">
        <v>#NAME?</v>
      </c>
      <c r="G5" s="15">
        <f t="shared" ref="G5:G9" si="788">-((-0.5)^E5/(1+SUMPRODUCT(0.5^(2*E$5:E5))))</f>
        <v>0.40000000000000002</v>
      </c>
      <c r="Q5" s="15">
        <v>1</v>
      </c>
      <c r="R5" s="15">
        <f t="shared" ref="R5:R9" si="789">-((-0.5)^Q5*(1-0.5^2)/(1-0.5^(2*Q5+2)))</f>
        <v>0.40000000000000002</v>
      </c>
    </row>
    <row r="6">
      <c r="A6">
        <f t="shared" ref="A6:A10" si="790">A5+1</f>
        <v>2</v>
      </c>
      <c r="B6">
        <v>-0.87558778428873507</v>
      </c>
      <c r="C6">
        <f t="shared" ref="C6:C9" si="791">4+B6+0.5*B5</f>
        <v>2.7773117583679299</v>
      </c>
      <c r="E6" s="15">
        <f t="shared" ref="E6:E10" si="792">E5+1</f>
        <v>2</v>
      </c>
      <c r="F6" t="e">
        <v>#NAME?</v>
      </c>
      <c r="G6" s="15">
        <f t="shared" si="788"/>
        <v>-0.19047619047618999</v>
      </c>
      <c r="Q6" s="15">
        <f t="shared" ref="Q6:Q10" si="793">Q5+1</f>
        <v>2</v>
      </c>
      <c r="R6" s="15">
        <f t="shared" si="789"/>
        <v>-0.19047619047618999</v>
      </c>
    </row>
    <row r="7">
      <c r="A7">
        <f t="shared" si="790"/>
        <v>3</v>
      </c>
      <c r="B7">
        <v>-0.74392130947938684</v>
      </c>
      <c r="C7">
        <f t="shared" si="791"/>
        <v>2.81828479837624</v>
      </c>
      <c r="E7" s="15">
        <f t="shared" si="792"/>
        <v>3</v>
      </c>
      <c r="F7" t="e">
        <v>#NAME?</v>
      </c>
      <c r="G7" s="15">
        <f t="shared" si="788"/>
        <v>9.4117647058824e-02</v>
      </c>
      <c r="Q7" s="15">
        <f t="shared" si="793"/>
        <v>3</v>
      </c>
      <c r="R7" s="15">
        <f t="shared" si="789"/>
        <v>9.4117647058824e-02</v>
      </c>
    </row>
    <row r="8">
      <c r="A8">
        <f t="shared" si="790"/>
        <v>4</v>
      </c>
      <c r="B8">
        <v>3.0728091528421637</v>
      </c>
      <c r="C8">
        <f t="shared" si="791"/>
        <v>6.7008484981024701</v>
      </c>
      <c r="E8" s="15">
        <f t="shared" si="792"/>
        <v>4</v>
      </c>
      <c r="F8" t="e">
        <v>#NAME?</v>
      </c>
      <c r="G8" s="15">
        <f t="shared" si="788"/>
        <v>-4.6920821114370001e-02</v>
      </c>
      <c r="Q8" s="15">
        <f t="shared" si="793"/>
        <v>4</v>
      </c>
      <c r="R8" s="15">
        <f t="shared" si="789"/>
        <v>-4.6920821114370001e-02</v>
      </c>
    </row>
    <row r="9">
      <c r="A9">
        <f t="shared" si="790"/>
        <v>5</v>
      </c>
      <c r="B9">
        <v>-1.9419373719738628</v>
      </c>
      <c r="C9">
        <f t="shared" si="791"/>
        <v>3.5944672044472199</v>
      </c>
      <c r="E9" s="15">
        <f t="shared" si="792"/>
        <v>5</v>
      </c>
      <c r="F9" t="e">
        <v>#NAME?</v>
      </c>
      <c r="G9" s="15">
        <f t="shared" si="788"/>
        <v>2.3443223443222999e-02</v>
      </c>
      <c r="Q9" s="15">
        <f t="shared" si="793"/>
        <v>5</v>
      </c>
      <c r="R9" s="15">
        <f t="shared" si="789"/>
        <v>2.3443223443222999e-02</v>
      </c>
    </row>
    <row r="10">
      <c r="A10">
        <f t="shared" si="790"/>
        <v>6</v>
      </c>
      <c r="B10">
        <v>-1.7296502884778595</v>
      </c>
      <c r="C10">
        <f>4+B10+0.5*B9</f>
        <v>1.2993810255352101</v>
      </c>
      <c r="E10" s="15">
        <f t="shared" si="792"/>
        <v>6</v>
      </c>
      <c r="F10" t="e">
        <v>#NAME?</v>
      </c>
      <c r="G10" s="15">
        <f t="shared" ref="G10:G19" si="794">-((-0.5)^E10/(1+SUMPRODUCT(0.5^(2*E$5:E10))))</f>
        <v>-1.1719465299395999e-02</v>
      </c>
      <c r="Q10" s="15">
        <f t="shared" si="793"/>
        <v>6</v>
      </c>
      <c r="R10" s="15">
        <f t="shared" ref="R10:R19" si="795">-((-0.5)^Q10*(1-0.5^2)/(1-0.5^(2*Q10+2)))</f>
        <v>-1.1719465299395999e-02</v>
      </c>
    </row>
    <row r="11">
      <c r="A11">
        <f t="shared" ref="A11:A74" si="796">A10+1</f>
        <v>7</v>
      </c>
      <c r="B11">
        <v>2.1964877398152103</v>
      </c>
      <c r="C11">
        <f t="shared" ref="C11:C74" si="797">4+B11+0.5*B10</f>
        <v>5.3316625955762804</v>
      </c>
      <c r="E11" s="15">
        <f t="shared" ref="E11:E19" si="798">E10+1</f>
        <v>7</v>
      </c>
      <c r="F11" t="e">
        <v>#NAME?</v>
      </c>
      <c r="G11" s="15">
        <f t="shared" si="794"/>
        <v>5.8594644083310001e-03</v>
      </c>
      <c r="Q11" s="15">
        <f t="shared" ref="Q11:Q19" si="799">Q10+1</f>
        <v>7</v>
      </c>
      <c r="R11" s="15">
        <f t="shared" si="795"/>
        <v>5.8594644083310001e-03</v>
      </c>
    </row>
    <row r="12">
      <c r="A12">
        <f t="shared" si="796"/>
        <v>8</v>
      </c>
      <c r="B12">
        <v>-3.6212692123216481</v>
      </c>
      <c r="C12">
        <f t="shared" si="797"/>
        <v>1.4769746575859599</v>
      </c>
      <c r="E12" s="15">
        <f t="shared" si="798"/>
        <v>8</v>
      </c>
      <c r="F12" t="e">
        <v>#NAME?</v>
      </c>
      <c r="G12" s="15">
        <f t="shared" si="794"/>
        <v>-2.9296986759139994e-03</v>
      </c>
      <c r="Q12" s="15">
        <f t="shared" si="799"/>
        <v>8</v>
      </c>
      <c r="R12" s="15">
        <f t="shared" si="795"/>
        <v>-2.9296986759139994e-03</v>
      </c>
    </row>
    <row r="13">
      <c r="A13">
        <f t="shared" si="796"/>
        <v>9</v>
      </c>
      <c r="B13">
        <v>-0.73537045424691472</v>
      </c>
      <c r="C13">
        <f t="shared" si="797"/>
        <v>1.45399493959226</v>
      </c>
      <c r="E13" s="15">
        <f t="shared" si="798"/>
        <v>9</v>
      </c>
      <c r="F13" t="e">
        <v>#NAME?</v>
      </c>
      <c r="G13" s="15">
        <f t="shared" si="794"/>
        <v>1.4648451469849999e-03</v>
      </c>
      <c r="Q13" s="15">
        <f t="shared" si="799"/>
        <v>9</v>
      </c>
      <c r="R13" s="15">
        <f t="shared" si="795"/>
        <v>1.4648451469849999e-03</v>
      </c>
    </row>
    <row r="14">
      <c r="A14">
        <f t="shared" si="796"/>
        <v>10</v>
      </c>
      <c r="B14">
        <v>-2.3965548844576574</v>
      </c>
      <c r="C14">
        <f t="shared" si="797"/>
        <v>1.2357598884188801</v>
      </c>
      <c r="E14" s="15">
        <f t="shared" si="798"/>
        <v>10</v>
      </c>
      <c r="F14" t="e">
        <v>#NAME?</v>
      </c>
      <c r="G14" s="15">
        <f t="shared" si="794"/>
        <v>-7.3242204962299998e-04</v>
      </c>
      <c r="Q14" s="15">
        <f t="shared" si="799"/>
        <v>10</v>
      </c>
      <c r="R14" s="15">
        <f t="shared" si="795"/>
        <v>-7.3242204962299998e-04</v>
      </c>
    </row>
    <row r="15">
      <c r="A15">
        <f t="shared" si="796"/>
        <v>11</v>
      </c>
      <c r="B15">
        <v>-0.75072452984709093</v>
      </c>
      <c r="C15">
        <f t="shared" si="797"/>
        <v>2.0509980279240798</v>
      </c>
      <c r="E15" s="15">
        <f t="shared" si="798"/>
        <v>11</v>
      </c>
      <c r="F15" t="e">
        <v>#NAME?</v>
      </c>
      <c r="G15" s="15">
        <f t="shared" si="794"/>
        <v>3.6621095932799997e-04</v>
      </c>
      <c r="Q15" s="15">
        <f t="shared" si="799"/>
        <v>11</v>
      </c>
      <c r="R15" s="15">
        <f t="shared" si="795"/>
        <v>3.6621095932799997e-04</v>
      </c>
    </row>
    <row r="16">
      <c r="A16">
        <f t="shared" si="796"/>
        <v>12</v>
      </c>
      <c r="B16">
        <v>0.51621828199445963</v>
      </c>
      <c r="C16">
        <f t="shared" si="797"/>
        <v>4.1408560170709103</v>
      </c>
      <c r="E16" s="15">
        <f t="shared" si="798"/>
        <v>12</v>
      </c>
      <c r="F16" t="e">
        <v>#NAME?</v>
      </c>
      <c r="G16" s="15">
        <f t="shared" si="794"/>
        <v>-1.8310547147800004e-04</v>
      </c>
      <c r="Q16" s="15">
        <f t="shared" si="799"/>
        <v>12</v>
      </c>
      <c r="R16" s="15">
        <f t="shared" si="795"/>
        <v>-1.8310547147800004e-04</v>
      </c>
    </row>
    <row r="17">
      <c r="A17">
        <f t="shared" si="796"/>
        <v>13</v>
      </c>
      <c r="B17">
        <v>1.857550407661875</v>
      </c>
      <c r="C17">
        <f t="shared" si="797"/>
        <v>6.1156595486591101</v>
      </c>
      <c r="E17" s="15">
        <f t="shared" si="798"/>
        <v>13</v>
      </c>
      <c r="F17" t="e">
        <v>#NAME?</v>
      </c>
      <c r="G17" s="15">
        <f t="shared" si="794"/>
        <v>9.1552734716000015e-05</v>
      </c>
      <c r="Q17" s="15">
        <f t="shared" si="799"/>
        <v>13</v>
      </c>
      <c r="R17" s="15">
        <f t="shared" si="795"/>
        <v>9.1552734716000015e-05</v>
      </c>
    </row>
    <row r="18">
      <c r="A18">
        <f t="shared" si="796"/>
        <v>14</v>
      </c>
      <c r="B18">
        <v>1.8555028839107321</v>
      </c>
      <c r="C18">
        <f t="shared" si="797"/>
        <v>6.7842780877416704</v>
      </c>
      <c r="E18" s="15">
        <f t="shared" si="798"/>
        <v>14</v>
      </c>
      <c r="F18" t="e">
        <v>#NAME?</v>
      </c>
      <c r="G18" s="15">
        <f t="shared" si="794"/>
        <v>-4.5776367229999993e-05</v>
      </c>
      <c r="Q18" s="15">
        <f t="shared" si="799"/>
        <v>14</v>
      </c>
      <c r="R18" s="15">
        <f t="shared" si="795"/>
        <v>-4.5776367231e-05</v>
      </c>
    </row>
    <row r="19">
      <c r="A19">
        <f t="shared" si="796"/>
        <v>15</v>
      </c>
      <c r="B19">
        <v>-1.0084510887843623</v>
      </c>
      <c r="C19">
        <f t="shared" si="797"/>
        <v>3.91930035317101</v>
      </c>
      <c r="E19" s="17">
        <f t="shared" si="798"/>
        <v>15</v>
      </c>
      <c r="F19" s="14" t="e">
        <v>#NAME?</v>
      </c>
      <c r="G19" s="17">
        <f t="shared" si="794"/>
        <v>2.2888183599000002e-05</v>
      </c>
      <c r="Q19" s="17">
        <f t="shared" si="799"/>
        <v>15</v>
      </c>
      <c r="R19" s="17">
        <f t="shared" si="795"/>
        <v>2.2888183599000002e-05</v>
      </c>
    </row>
    <row r="20">
      <c r="A20">
        <f t="shared" si="796"/>
        <v>16</v>
      </c>
      <c r="B20">
        <v>1.4960391755868736</v>
      </c>
      <c r="C20">
        <f t="shared" si="797"/>
        <v>4.9918136311946899</v>
      </c>
    </row>
    <row r="21">
      <c r="A21">
        <f t="shared" si="796"/>
        <v>17</v>
      </c>
      <c r="B21">
        <v>-0.40039667282690755</v>
      </c>
      <c r="C21">
        <f t="shared" si="797"/>
        <v>4.3476229149665304</v>
      </c>
    </row>
    <row r="22">
      <c r="A22">
        <f t="shared" si="796"/>
        <v>18</v>
      </c>
      <c r="B22">
        <v>-2.1659297760239777</v>
      </c>
      <c r="C22">
        <f t="shared" si="797"/>
        <v>1.63387188756257</v>
      </c>
    </row>
    <row r="23">
      <c r="A23">
        <f t="shared" si="796"/>
        <v>19</v>
      </c>
      <c r="B23">
        <v>1.265945750690491</v>
      </c>
      <c r="C23">
        <f t="shared" si="797"/>
        <v>4.1829808626784999</v>
      </c>
    </row>
    <row r="24">
      <c r="A24">
        <f t="shared" si="796"/>
        <v>20</v>
      </c>
      <c r="B24">
        <v>1.3803624088083266</v>
      </c>
      <c r="C24">
        <f t="shared" si="797"/>
        <v>6.0133352841535803</v>
      </c>
    </row>
    <row r="25">
      <c r="A25">
        <f t="shared" si="796"/>
        <v>21</v>
      </c>
      <c r="B25">
        <v>-0.6899420173245624</v>
      </c>
      <c r="C25">
        <f t="shared" si="797"/>
        <v>4.0002391870796101</v>
      </c>
    </row>
    <row r="26">
      <c r="A26">
        <f t="shared" si="796"/>
        <v>22</v>
      </c>
      <c r="B26">
        <v>-0.60723301719649769</v>
      </c>
      <c r="C26">
        <f t="shared" si="797"/>
        <v>3.0477959741412199</v>
      </c>
    </row>
    <row r="27">
      <c r="A27">
        <f t="shared" si="796"/>
        <v>23</v>
      </c>
      <c r="B27">
        <v>0.43319896792900731</v>
      </c>
      <c r="C27">
        <f t="shared" si="797"/>
        <v>4.1295824593307602</v>
      </c>
    </row>
    <row r="28">
      <c r="A28">
        <f t="shared" si="796"/>
        <v>24</v>
      </c>
      <c r="B28">
        <v>-0.77726215348466687</v>
      </c>
      <c r="C28">
        <f t="shared" si="797"/>
        <v>3.4393373304798298</v>
      </c>
    </row>
    <row r="29">
      <c r="A29">
        <f t="shared" si="796"/>
        <v>25</v>
      </c>
      <c r="B29">
        <v>-1.8164843165145284</v>
      </c>
      <c r="C29">
        <f t="shared" si="797"/>
        <v>1.7948846067431401</v>
      </c>
    </row>
    <row r="30">
      <c r="A30">
        <f t="shared" si="796"/>
        <v>26</v>
      </c>
      <c r="B30">
        <v>2.3362010307127998</v>
      </c>
      <c r="C30">
        <f t="shared" si="797"/>
        <v>5.4279588724555401</v>
      </c>
    </row>
    <row r="31">
      <c r="A31">
        <f t="shared" si="796"/>
        <v>27</v>
      </c>
      <c r="B31">
        <v>0.53940757415645246</v>
      </c>
      <c r="C31">
        <f t="shared" si="797"/>
        <v>5.7075080895128503</v>
      </c>
    </row>
    <row r="32">
      <c r="A32">
        <f t="shared" si="796"/>
        <v>28</v>
      </c>
      <c r="B32">
        <v>-4.4049614316555991e-02</v>
      </c>
      <c r="C32">
        <f t="shared" si="797"/>
        <v>4.2256541727616703</v>
      </c>
    </row>
    <row r="33">
      <c r="A33">
        <f t="shared" si="796"/>
        <v>29</v>
      </c>
      <c r="B33">
        <v>2.3057581413476544</v>
      </c>
      <c r="C33">
        <f t="shared" si="797"/>
        <v>6.2837333341893702</v>
      </c>
    </row>
    <row r="34">
      <c r="A34">
        <f t="shared" si="796"/>
        <v>30</v>
      </c>
      <c r="B34">
        <v>4.4245912408273673</v>
      </c>
      <c r="C34">
        <f t="shared" si="797"/>
        <v>9.5774703115011999</v>
      </c>
    </row>
    <row r="35">
      <c r="A35">
        <f t="shared" si="796"/>
        <v>31</v>
      </c>
      <c r="B35">
        <v>-0.87761234660300036</v>
      </c>
      <c r="C35">
        <f t="shared" si="797"/>
        <v>5.3346832738106897</v>
      </c>
    </row>
    <row r="36">
      <c r="A36">
        <f t="shared" si="796"/>
        <v>32</v>
      </c>
      <c r="B36">
        <v>-8.9411512738627741e-02</v>
      </c>
      <c r="C36">
        <f t="shared" si="797"/>
        <v>3.4717823139598698</v>
      </c>
    </row>
    <row r="37">
      <c r="A37">
        <f t="shared" si="796"/>
        <v>33</v>
      </c>
      <c r="B37">
        <v>1.3116096495739089</v>
      </c>
      <c r="C37">
        <f t="shared" si="797"/>
        <v>5.2669038932046002</v>
      </c>
    </row>
    <row r="38">
      <c r="A38">
        <f t="shared" si="796"/>
        <v>34</v>
      </c>
      <c r="B38">
        <v>-5.7407753840039939e-02</v>
      </c>
      <c r="C38">
        <f t="shared" si="797"/>
        <v>4.5983970709469197</v>
      </c>
    </row>
    <row r="39">
      <c r="A39">
        <f t="shared" si="796"/>
        <v>35</v>
      </c>
      <c r="B39">
        <v>-0.23005134035884045</v>
      </c>
      <c r="C39">
        <f t="shared" si="797"/>
        <v>3.7412447827211399</v>
      </c>
    </row>
    <row r="40">
      <c r="A40">
        <f t="shared" si="796"/>
        <v>36</v>
      </c>
      <c r="B40">
        <v>0.57825656951370696</v>
      </c>
      <c r="C40">
        <f t="shared" si="797"/>
        <v>4.46323089933429</v>
      </c>
    </row>
    <row r="41">
      <c r="A41">
        <f t="shared" si="796"/>
        <v>37</v>
      </c>
      <c r="B41">
        <v>-2.6169621132803687</v>
      </c>
      <c r="C41">
        <f t="shared" si="797"/>
        <v>1.6721661714764799</v>
      </c>
    </row>
    <row r="42">
      <c r="A42">
        <f t="shared" si="796"/>
        <v>38</v>
      </c>
      <c r="B42">
        <v>-2.4905726166394642</v>
      </c>
      <c r="C42">
        <f t="shared" si="797"/>
        <v>0.20094632672035001</v>
      </c>
    </row>
    <row r="43">
      <c r="A43">
        <f t="shared" si="796"/>
        <v>39</v>
      </c>
      <c r="B43">
        <v>0.5869249825884717</v>
      </c>
      <c r="C43">
        <f t="shared" si="797"/>
        <v>3.3416386742687401</v>
      </c>
    </row>
    <row r="44">
      <c r="A44">
        <f t="shared" si="796"/>
        <v>40</v>
      </c>
      <c r="B44">
        <v>-0.81234505881972496</v>
      </c>
      <c r="C44">
        <f t="shared" si="797"/>
        <v>3.48111743247452</v>
      </c>
    </row>
    <row r="45">
      <c r="A45">
        <f t="shared" si="796"/>
        <v>41</v>
      </c>
      <c r="B45">
        <v>2.0037975662623024</v>
      </c>
      <c r="C45">
        <f t="shared" si="797"/>
        <v>5.5976250368524401</v>
      </c>
    </row>
    <row r="46">
      <c r="A46">
        <f t="shared" si="796"/>
        <v>42</v>
      </c>
      <c r="B46">
        <v>3.8424720915805448</v>
      </c>
      <c r="C46">
        <f t="shared" si="797"/>
        <v>8.8443708747117</v>
      </c>
    </row>
    <row r="47">
      <c r="A47">
        <f t="shared" si="796"/>
        <v>43</v>
      </c>
      <c r="B47">
        <v>0.32596170386742068</v>
      </c>
      <c r="C47">
        <f t="shared" si="797"/>
        <v>6.2471977496577002</v>
      </c>
    </row>
    <row r="48">
      <c r="A48">
        <f t="shared" si="796"/>
        <v>44</v>
      </c>
      <c r="B48">
        <v>0.87008659160246826</v>
      </c>
      <c r="C48">
        <f t="shared" si="797"/>
        <v>5.0330674435361802</v>
      </c>
    </row>
    <row r="49">
      <c r="A49">
        <f t="shared" si="796"/>
        <v>45</v>
      </c>
      <c r="B49">
        <v>-0.36537031831069855</v>
      </c>
      <c r="C49">
        <f t="shared" si="797"/>
        <v>4.06967297749053</v>
      </c>
    </row>
    <row r="50">
      <c r="A50">
        <f t="shared" si="796"/>
        <v>46</v>
      </c>
      <c r="B50">
        <v>-1.4235386617346899</v>
      </c>
      <c r="C50">
        <f t="shared" si="797"/>
        <v>2.3937761791099601</v>
      </c>
    </row>
    <row r="51">
      <c r="A51">
        <f t="shared" si="796"/>
        <v>47</v>
      </c>
      <c r="B51">
        <v>2.5046237445473025</v>
      </c>
      <c r="C51">
        <f t="shared" si="797"/>
        <v>5.7928544136799598</v>
      </c>
    </row>
    <row r="52">
      <c r="A52">
        <f t="shared" si="796"/>
        <v>48</v>
      </c>
      <c r="B52">
        <v>0.99722248777568656</v>
      </c>
      <c r="C52">
        <f t="shared" si="797"/>
        <v>6.2495343600493403</v>
      </c>
    </row>
    <row r="53">
      <c r="A53">
        <f t="shared" si="796"/>
        <v>49</v>
      </c>
      <c r="B53">
        <v>-0.27654238324895269</v>
      </c>
      <c r="C53">
        <f t="shared" si="797"/>
        <v>4.2220688606388901</v>
      </c>
    </row>
    <row r="54">
      <c r="A54">
        <f t="shared" si="796"/>
        <v>50</v>
      </c>
      <c r="B54">
        <v>1.5856114065285145</v>
      </c>
      <c r="C54">
        <f t="shared" si="797"/>
        <v>5.4473402149040302</v>
      </c>
    </row>
    <row r="55">
      <c r="A55">
        <f t="shared" si="796"/>
        <v>51</v>
      </c>
      <c r="B55">
        <v>0.20961962024818881</v>
      </c>
      <c r="C55">
        <f t="shared" si="797"/>
        <v>5.0024253235124503</v>
      </c>
    </row>
    <row r="56">
      <c r="A56">
        <f t="shared" si="796"/>
        <v>52</v>
      </c>
      <c r="B56">
        <v>1.5484203037498829</v>
      </c>
      <c r="C56">
        <f t="shared" si="797"/>
        <v>5.6532301138739802</v>
      </c>
    </row>
    <row r="57">
      <c r="A57">
        <f t="shared" si="796"/>
        <v>53</v>
      </c>
      <c r="B57">
        <v>-0.92826506819668642</v>
      </c>
      <c r="C57">
        <f t="shared" si="797"/>
        <v>3.8459450836782501</v>
      </c>
    </row>
    <row r="58">
      <c r="A58">
        <f t="shared" si="796"/>
        <v>54</v>
      </c>
      <c r="B58">
        <v>3.9340990778615104</v>
      </c>
      <c r="C58">
        <f t="shared" si="797"/>
        <v>7.4699665437631699</v>
      </c>
    </row>
    <row r="59">
      <c r="A59">
        <f t="shared" si="796"/>
        <v>55</v>
      </c>
      <c r="B59">
        <v>-1.6344170686105273</v>
      </c>
      <c r="C59">
        <f t="shared" si="797"/>
        <v>4.3326324703202301</v>
      </c>
    </row>
    <row r="60">
      <c r="A60">
        <f t="shared" si="796"/>
        <v>56</v>
      </c>
      <c r="B60">
        <v>-0.63481749081468575</v>
      </c>
      <c r="C60">
        <f t="shared" si="797"/>
        <v>2.5479739748800498</v>
      </c>
    </row>
    <row r="61">
      <c r="A61">
        <f t="shared" si="796"/>
        <v>57</v>
      </c>
      <c r="B61">
        <v>1.0198933639943912</v>
      </c>
      <c r="C61">
        <f t="shared" si="797"/>
        <v>4.7024846185870501</v>
      </c>
    </row>
    <row r="62">
      <c r="A62">
        <f t="shared" si="796"/>
        <v>58</v>
      </c>
      <c r="B62">
        <v>1.2294417712870718</v>
      </c>
      <c r="C62">
        <f t="shared" si="797"/>
        <v>5.7393884532842696</v>
      </c>
    </row>
    <row r="63">
      <c r="A63">
        <f t="shared" si="796"/>
        <v>59</v>
      </c>
      <c r="B63">
        <v>3.2987612286636145</v>
      </c>
      <c r="C63">
        <f t="shared" si="797"/>
        <v>7.9134821143071497</v>
      </c>
    </row>
    <row r="64">
      <c r="A64">
        <f t="shared" si="796"/>
        <v>60</v>
      </c>
      <c r="B64">
        <v>0.64413182867804242</v>
      </c>
      <c r="C64">
        <f t="shared" si="797"/>
        <v>6.2935124430098499</v>
      </c>
    </row>
    <row r="65">
      <c r="A65">
        <f t="shared" si="796"/>
        <v>61</v>
      </c>
      <c r="B65">
        <v>-5.96350910370659e-02</v>
      </c>
      <c r="C65">
        <f t="shared" si="797"/>
        <v>4.2624308233019503</v>
      </c>
    </row>
    <row r="66">
      <c r="A66">
        <f t="shared" si="796"/>
        <v>62</v>
      </c>
      <c r="B66">
        <v>3.1563169379344984</v>
      </c>
      <c r="C66">
        <f t="shared" si="797"/>
        <v>7.1264993924159699</v>
      </c>
    </row>
    <row r="67">
      <c r="A67">
        <f t="shared" si="796"/>
        <v>63</v>
      </c>
      <c r="B67">
        <v>-2.306240088032308</v>
      </c>
      <c r="C67">
        <f t="shared" si="797"/>
        <v>3.2719183809349399</v>
      </c>
    </row>
    <row r="68">
      <c r="A68">
        <f t="shared" si="796"/>
        <v>64</v>
      </c>
      <c r="B68">
        <v>-0.4021885704054472</v>
      </c>
      <c r="C68">
        <f t="shared" si="797"/>
        <v>2.4446913855783898</v>
      </c>
    </row>
    <row r="69">
      <c r="A69">
        <f t="shared" si="796"/>
        <v>65</v>
      </c>
      <c r="B69">
        <v>-0.52759380307616421</v>
      </c>
      <c r="C69">
        <f t="shared" si="797"/>
        <v>3.2713119117211198</v>
      </c>
    </row>
    <row r="70">
      <c r="A70">
        <f t="shared" si="796"/>
        <v>66</v>
      </c>
      <c r="B70">
        <v>0.90554286799405381</v>
      </c>
      <c r="C70">
        <f t="shared" si="797"/>
        <v>4.6417459664559697</v>
      </c>
    </row>
    <row r="71">
      <c r="A71">
        <f t="shared" si="796"/>
        <v>67</v>
      </c>
      <c r="B71">
        <v>1.4839149021568461</v>
      </c>
      <c r="C71">
        <f t="shared" si="797"/>
        <v>5.9366863361538798</v>
      </c>
    </row>
    <row r="72">
      <c r="A72">
        <f t="shared" si="796"/>
        <v>68</v>
      </c>
      <c r="B72">
        <v>-0.26026620501782682</v>
      </c>
      <c r="C72">
        <f t="shared" si="797"/>
        <v>4.4816912460606</v>
      </c>
    </row>
    <row r="73">
      <c r="A73">
        <f t="shared" si="796"/>
        <v>69</v>
      </c>
      <c r="B73">
        <v>-3.3625596460355449e-02</v>
      </c>
      <c r="C73">
        <f t="shared" si="797"/>
        <v>3.8362413010307401</v>
      </c>
    </row>
    <row r="74">
      <c r="A74">
        <f t="shared" si="796"/>
        <v>70</v>
      </c>
      <c r="B74">
        <v>0.68794647636347028</v>
      </c>
      <c r="C74">
        <f t="shared" si="797"/>
        <v>4.6711336781332902</v>
      </c>
    </row>
    <row r="75">
      <c r="A75">
        <f t="shared" ref="A75:A100" si="800">A74+1</f>
        <v>71</v>
      </c>
      <c r="B75">
        <v>4.1362425453436655</v>
      </c>
      <c r="C75">
        <f t="shared" ref="C75:C99" si="801">4+B75+0.5*B74</f>
        <v>8.4802157835254093</v>
      </c>
    </row>
    <row r="76">
      <c r="A76">
        <f t="shared" si="800"/>
        <v>72</v>
      </c>
      <c r="B76">
        <v>0.45211454533455148</v>
      </c>
      <c r="C76">
        <f t="shared" si="801"/>
        <v>6.5202358180063902</v>
      </c>
    </row>
    <row r="77">
      <c r="A77">
        <f t="shared" si="800"/>
        <v>73</v>
      </c>
      <c r="B77">
        <v>1.1252631017477928</v>
      </c>
      <c r="C77">
        <f t="shared" si="801"/>
        <v>5.3513203744150699</v>
      </c>
    </row>
    <row r="78">
      <c r="A78">
        <f t="shared" si="800"/>
        <v>74</v>
      </c>
      <c r="B78">
        <v>2.0132078825187141</v>
      </c>
      <c r="C78">
        <f t="shared" si="801"/>
        <v>6.57583943339261</v>
      </c>
    </row>
    <row r="79">
      <c r="A79">
        <f t="shared" si="800"/>
        <v>75</v>
      </c>
      <c r="B79">
        <v>0.97866440297732316</v>
      </c>
      <c r="C79">
        <f t="shared" si="801"/>
        <v>5.9852683442366796</v>
      </c>
    </row>
    <row r="80">
      <c r="A80">
        <f t="shared" si="800"/>
        <v>76</v>
      </c>
      <c r="B80">
        <v>1.9269932557537806</v>
      </c>
      <c r="C80">
        <f t="shared" si="801"/>
        <v>6.41632545724244</v>
      </c>
    </row>
    <row r="81">
      <c r="A81">
        <f t="shared" si="800"/>
        <v>77</v>
      </c>
      <c r="B81">
        <v>-2.3180276622927738</v>
      </c>
      <c r="C81">
        <f t="shared" si="801"/>
        <v>2.6454689655841199</v>
      </c>
    </row>
    <row r="82">
      <c r="A82">
        <f t="shared" si="800"/>
        <v>78</v>
      </c>
      <c r="B82">
        <v>-0.91963460540494268</v>
      </c>
      <c r="C82">
        <f t="shared" si="801"/>
        <v>1.92135156344867</v>
      </c>
    </row>
    <row r="83">
      <c r="A83">
        <f t="shared" si="800"/>
        <v>79</v>
      </c>
      <c r="B83">
        <v>2.9426927083491106</v>
      </c>
      <c r="C83">
        <f t="shared" si="801"/>
        <v>6.4828754056466398</v>
      </c>
    </row>
    <row r="84">
      <c r="A84">
        <f t="shared" si="800"/>
        <v>80</v>
      </c>
      <c r="B84">
        <v>1.019377953576635</v>
      </c>
      <c r="C84">
        <f t="shared" si="801"/>
        <v>6.4907243077511998</v>
      </c>
    </row>
    <row r="85">
      <c r="A85">
        <f t="shared" si="800"/>
        <v>81</v>
      </c>
      <c r="B85">
        <v>1.6847808127539263</v>
      </c>
      <c r="C85">
        <f t="shared" si="801"/>
        <v>6.19446978954225</v>
      </c>
    </row>
    <row r="86">
      <c r="A86">
        <f t="shared" si="800"/>
        <v>82</v>
      </c>
      <c r="B86">
        <v>-2.8579362242959387</v>
      </c>
      <c r="C86">
        <f t="shared" si="801"/>
        <v>1.98445418208103</v>
      </c>
    </row>
    <row r="87">
      <c r="A87">
        <f t="shared" si="800"/>
        <v>83</v>
      </c>
      <c r="B87">
        <v>-4.613725323851007</v>
      </c>
      <c r="C87">
        <f t="shared" si="801"/>
        <v>-2.0426934359989799</v>
      </c>
    </row>
    <row r="88">
      <c r="A88">
        <f t="shared" si="800"/>
        <v>84</v>
      </c>
      <c r="B88">
        <v>3.5477982444532903</v>
      </c>
      <c r="C88">
        <f t="shared" si="801"/>
        <v>5.2409355825277801</v>
      </c>
    </row>
    <row r="89">
      <c r="A89">
        <f t="shared" si="800"/>
        <v>85</v>
      </c>
      <c r="B89">
        <v>0.97853828339675197</v>
      </c>
      <c r="C89">
        <f t="shared" si="801"/>
        <v>6.7524374056234002</v>
      </c>
    </row>
    <row r="90">
      <c r="A90">
        <f t="shared" si="800"/>
        <v>86</v>
      </c>
      <c r="B90">
        <v>-2.838830967052405</v>
      </c>
      <c r="C90">
        <f t="shared" si="801"/>
        <v>1.65043817464597</v>
      </c>
    </row>
    <row r="91">
      <c r="A91">
        <f t="shared" si="800"/>
        <v>87</v>
      </c>
      <c r="B91">
        <v>0.34123210128753367</v>
      </c>
      <c r="C91">
        <f t="shared" si="801"/>
        <v>2.9218166177613201</v>
      </c>
    </row>
    <row r="92">
      <c r="A92">
        <f t="shared" si="800"/>
        <v>88</v>
      </c>
      <c r="B92">
        <v>1.5246885661775635</v>
      </c>
      <c r="C92">
        <f t="shared" si="801"/>
        <v>5.6953046168213302</v>
      </c>
    </row>
    <row r="93">
      <c r="A93">
        <f t="shared" si="800"/>
        <v>89</v>
      </c>
      <c r="B93">
        <v>0.16292493668327629</v>
      </c>
      <c r="C93">
        <f t="shared" si="801"/>
        <v>4.9252692197720602</v>
      </c>
    </row>
    <row r="94">
      <c r="A94">
        <f t="shared" si="800"/>
        <v>90</v>
      </c>
      <c r="B94">
        <v>-1.7796863231619184</v>
      </c>
      <c r="C94">
        <f t="shared" si="801"/>
        <v>2.3017761451797201</v>
      </c>
    </row>
    <row r="95">
      <c r="A95">
        <f t="shared" si="800"/>
        <v>91</v>
      </c>
      <c r="B95">
        <v>-1.3228790100716219</v>
      </c>
      <c r="C95">
        <f t="shared" si="801"/>
        <v>1.78727782834742</v>
      </c>
    </row>
    <row r="96">
      <c r="A96">
        <f t="shared" si="800"/>
        <v>92</v>
      </c>
      <c r="B96">
        <v>2.080778396870429</v>
      </c>
      <c r="C96">
        <f t="shared" si="801"/>
        <v>5.4193388918346201</v>
      </c>
    </row>
    <row r="97">
      <c r="A97">
        <f t="shared" si="800"/>
        <v>93</v>
      </c>
      <c r="B97">
        <v>-2.2197549924019668</v>
      </c>
      <c r="C97">
        <f t="shared" si="801"/>
        <v>2.8206342060332501</v>
      </c>
    </row>
    <row r="98">
      <c r="A98">
        <f t="shared" si="800"/>
        <v>94</v>
      </c>
      <c r="B98">
        <v>0.90609105867690243</v>
      </c>
      <c r="C98">
        <f t="shared" si="801"/>
        <v>3.7962135624759101</v>
      </c>
    </row>
    <row r="99">
      <c r="A99">
        <f t="shared" si="800"/>
        <v>95</v>
      </c>
      <c r="B99">
        <v>1.7045878815396458</v>
      </c>
      <c r="C99">
        <f t="shared" si="801"/>
        <v>6.1576334108781001</v>
      </c>
    </row>
    <row r="100">
      <c r="A100">
        <f t="shared" si="800"/>
        <v>96</v>
      </c>
      <c r="B100">
        <v>-1.8927044624652218</v>
      </c>
      <c r="C100">
        <f>4+B100+0.5*B99</f>
        <v>2.9595894783046099</v>
      </c>
    </row>
    <row r="101">
      <c r="A101">
        <f t="shared" ref="A101:A164" si="802">A100+1</f>
        <v>97</v>
      </c>
      <c r="B101">
        <v>-3.0190432616494278</v>
      </c>
      <c r="C101">
        <f t="shared" ref="C101:C164" si="803">4+B101+0.5*B100</f>
        <v>3.4604507117960009e-02</v>
      </c>
    </row>
    <row r="102">
      <c r="A102">
        <f t="shared" si="802"/>
        <v>98</v>
      </c>
      <c r="B102">
        <v>-0.38493372959890088</v>
      </c>
      <c r="C102">
        <f t="shared" si="803"/>
        <v>2.1055446395763799</v>
      </c>
    </row>
    <row r="103">
      <c r="A103">
        <f t="shared" si="802"/>
        <v>99</v>
      </c>
      <c r="B103">
        <v>2.4144439404005369</v>
      </c>
      <c r="C103">
        <f t="shared" si="803"/>
        <v>6.2219770756010897</v>
      </c>
    </row>
    <row r="104">
      <c r="A104">
        <f t="shared" si="802"/>
        <v>100</v>
      </c>
      <c r="B104">
        <v>-1.8267656438809119</v>
      </c>
      <c r="C104">
        <f t="shared" si="803"/>
        <v>3.3804563263193601</v>
      </c>
    </row>
    <row r="105">
      <c r="A105">
        <f t="shared" si="802"/>
        <v>101</v>
      </c>
      <c r="B105">
        <v>-4.6720387536128962</v>
      </c>
      <c r="C105">
        <f t="shared" si="803"/>
        <v>-1.5854215755533601</v>
      </c>
    </row>
    <row r="106">
      <c r="A106">
        <f t="shared" si="802"/>
        <v>102</v>
      </c>
      <c r="B106">
        <v>-0.67969721022420559</v>
      </c>
      <c r="C106">
        <f t="shared" si="803"/>
        <v>0.98428341296933985</v>
      </c>
    </row>
    <row r="107">
      <c r="A107">
        <f t="shared" si="802"/>
        <v>103</v>
      </c>
      <c r="B107">
        <v>1.0235786471187305</v>
      </c>
      <c r="C107">
        <f t="shared" si="803"/>
        <v>4.6837300420066299</v>
      </c>
    </row>
    <row r="108">
      <c r="A108">
        <f t="shared" si="802"/>
        <v>104</v>
      </c>
      <c r="B108">
        <v>2.327447608275897</v>
      </c>
      <c r="C108">
        <f t="shared" si="803"/>
        <v>6.8392369318352699</v>
      </c>
    </row>
    <row r="109">
      <c r="A109">
        <f t="shared" si="802"/>
        <v>105</v>
      </c>
      <c r="B109">
        <v>1.0316260251136307</v>
      </c>
      <c r="C109">
        <f t="shared" si="803"/>
        <v>6.1953498292515796</v>
      </c>
    </row>
    <row r="110">
      <c r="A110">
        <f t="shared" si="802"/>
        <v>106</v>
      </c>
      <c r="B110">
        <v>-1.2512099401749279</v>
      </c>
      <c r="C110">
        <f t="shared" si="803"/>
        <v>3.26460307238189</v>
      </c>
    </row>
    <row r="111">
      <c r="A111">
        <f t="shared" si="802"/>
        <v>107</v>
      </c>
      <c r="B111">
        <v>0.10921803350296348</v>
      </c>
      <c r="C111">
        <f t="shared" si="803"/>
        <v>3.4836130634155098</v>
      </c>
    </row>
    <row r="112">
      <c r="A112">
        <f t="shared" si="802"/>
        <v>108</v>
      </c>
      <c r="B112">
        <v>2.4070936899250017</v>
      </c>
      <c r="C112">
        <f t="shared" si="803"/>
        <v>6.4617027066764798</v>
      </c>
    </row>
    <row r="113">
      <c r="A113">
        <f t="shared" si="802"/>
        <v>109</v>
      </c>
      <c r="B113">
        <v>0.53299160907781618</v>
      </c>
      <c r="C113">
        <f t="shared" si="803"/>
        <v>5.7365384540403204</v>
      </c>
    </row>
    <row r="114">
      <c r="A114">
        <f t="shared" si="802"/>
        <v>110</v>
      </c>
      <c r="B114">
        <v>1.9257606977912869</v>
      </c>
      <c r="C114">
        <f t="shared" si="803"/>
        <v>6.1922565023302001</v>
      </c>
    </row>
    <row r="115">
      <c r="A115">
        <f t="shared" si="802"/>
        <v>111</v>
      </c>
      <c r="B115">
        <v>0.54030589728212797</v>
      </c>
      <c r="C115">
        <f t="shared" si="803"/>
        <v>5.5031862461777799</v>
      </c>
    </row>
    <row r="116">
      <c r="A116">
        <f t="shared" si="802"/>
        <v>112</v>
      </c>
      <c r="B116">
        <v>-0.11988049646136403</v>
      </c>
      <c r="C116">
        <f t="shared" si="803"/>
        <v>4.1502724521797099</v>
      </c>
    </row>
    <row r="117">
      <c r="A117">
        <f t="shared" si="802"/>
        <v>113</v>
      </c>
      <c r="B117">
        <v>-1.1086237225183357</v>
      </c>
      <c r="C117">
        <f t="shared" si="803"/>
        <v>2.8314360292509799</v>
      </c>
    </row>
    <row r="118">
      <c r="A118">
        <f t="shared" si="802"/>
        <v>114</v>
      </c>
      <c r="B118">
        <v>-0.73079447698851874</v>
      </c>
      <c r="C118">
        <f t="shared" si="803"/>
        <v>2.7148936617523098</v>
      </c>
    </row>
    <row r="119">
      <c r="A119">
        <f t="shared" si="802"/>
        <v>115</v>
      </c>
      <c r="B119">
        <v>-0.26398126148652912</v>
      </c>
      <c r="C119">
        <f t="shared" si="803"/>
        <v>3.3706215000192099</v>
      </c>
    </row>
    <row r="120">
      <c r="A120">
        <f t="shared" si="802"/>
        <v>116</v>
      </c>
      <c r="B120">
        <v>-0.69838242135073392</v>
      </c>
      <c r="C120">
        <f t="shared" si="803"/>
        <v>3.1696269479060102</v>
      </c>
    </row>
    <row r="121">
      <c r="A121">
        <f t="shared" si="802"/>
        <v>117</v>
      </c>
      <c r="B121">
        <v>9.8942406605733099e-02</v>
      </c>
      <c r="C121">
        <f t="shared" si="803"/>
        <v>3.7497511959303602</v>
      </c>
    </row>
    <row r="122">
      <c r="A122">
        <f t="shared" si="802"/>
        <v>118</v>
      </c>
      <c r="B122">
        <v>1.5426608666299271</v>
      </c>
      <c r="C122">
        <f t="shared" si="803"/>
        <v>5.5921320699328003</v>
      </c>
    </row>
    <row r="123">
      <c r="A123">
        <f t="shared" si="802"/>
        <v>119</v>
      </c>
      <c r="B123">
        <v>2.8236106327357645e-02</v>
      </c>
      <c r="C123">
        <f t="shared" si="803"/>
        <v>4.7995665396423304</v>
      </c>
    </row>
    <row r="124">
      <c r="A124">
        <f t="shared" si="802"/>
        <v>120</v>
      </c>
      <c r="B124">
        <v>3.7298519177469367</v>
      </c>
      <c r="C124">
        <f t="shared" si="803"/>
        <v>7.7439699709106202</v>
      </c>
    </row>
    <row r="125">
      <c r="A125">
        <f t="shared" si="802"/>
        <v>121</v>
      </c>
      <c r="B125">
        <v>-0.13576211991055853</v>
      </c>
      <c r="C125">
        <f t="shared" si="803"/>
        <v>5.7291638389629096</v>
      </c>
    </row>
    <row r="126">
      <c r="A126">
        <f t="shared" si="802"/>
        <v>122</v>
      </c>
      <c r="B126">
        <v>0.28565924067400528</v>
      </c>
      <c r="C126">
        <f t="shared" si="803"/>
        <v>4.2177781807187298</v>
      </c>
    </row>
    <row r="127">
      <c r="A127">
        <f t="shared" si="802"/>
        <v>123</v>
      </c>
      <c r="B127">
        <v>-1.4558091954319821</v>
      </c>
      <c r="C127">
        <f t="shared" si="803"/>
        <v>2.68702042490502</v>
      </c>
    </row>
    <row r="128">
      <c r="A128">
        <f t="shared" si="802"/>
        <v>124</v>
      </c>
      <c r="B128">
        <v>-0.40784678043201356</v>
      </c>
      <c r="C128">
        <f t="shared" si="803"/>
        <v>2.864248621852</v>
      </c>
    </row>
    <row r="129">
      <c r="A129">
        <f t="shared" si="802"/>
        <v>125</v>
      </c>
      <c r="B129">
        <v>2.1343551379439551</v>
      </c>
      <c r="C129">
        <f t="shared" si="803"/>
        <v>5.9304317477279502</v>
      </c>
    </row>
    <row r="130">
      <c r="A130">
        <f t="shared" si="802"/>
        <v>126</v>
      </c>
      <c r="B130">
        <v>-1.5491149335966881</v>
      </c>
      <c r="C130">
        <f t="shared" si="803"/>
        <v>3.5180626353752902</v>
      </c>
    </row>
    <row r="131">
      <c r="A131">
        <f t="shared" si="802"/>
        <v>127</v>
      </c>
      <c r="B131">
        <v>-7.9749871774825495e-02</v>
      </c>
      <c r="C131">
        <f t="shared" si="803"/>
        <v>3.1456926614268301</v>
      </c>
    </row>
    <row r="132">
      <c r="A132">
        <f t="shared" si="802"/>
        <v>128</v>
      </c>
      <c r="B132">
        <v>4.3903436969936607e-02</v>
      </c>
      <c r="C132">
        <f t="shared" si="803"/>
        <v>4.0040285010825301</v>
      </c>
    </row>
    <row r="133">
      <c r="A133">
        <f t="shared" si="802"/>
        <v>129</v>
      </c>
      <c r="B133">
        <v>-0.27009948997537042</v>
      </c>
      <c r="C133">
        <f t="shared" si="803"/>
        <v>3.7518522285096001</v>
      </c>
    </row>
    <row r="134">
      <c r="A134">
        <f t="shared" si="802"/>
        <v>130</v>
      </c>
      <c r="B134">
        <v>5.0453329047212323</v>
      </c>
      <c r="C134">
        <f t="shared" si="803"/>
        <v>8.9102831597335506</v>
      </c>
    </row>
    <row r="135">
      <c r="A135">
        <f t="shared" si="802"/>
        <v>131</v>
      </c>
      <c r="B135">
        <v>0.51053066687885029</v>
      </c>
      <c r="C135">
        <f t="shared" si="803"/>
        <v>7.0331971192394702</v>
      </c>
    </row>
    <row r="136">
      <c r="A136">
        <f t="shared" si="802"/>
        <v>132</v>
      </c>
      <c r="B136">
        <v>0.62138390886575301</v>
      </c>
      <c r="C136">
        <f t="shared" si="803"/>
        <v>4.8766492423051799</v>
      </c>
    </row>
    <row r="137">
      <c r="A137">
        <f t="shared" si="802"/>
        <v>133</v>
      </c>
      <c r="B137">
        <v>2.2475382984199679</v>
      </c>
      <c r="C137">
        <f t="shared" si="803"/>
        <v>6.5582302528528498</v>
      </c>
    </row>
    <row r="138">
      <c r="A138">
        <f t="shared" si="802"/>
        <v>134</v>
      </c>
      <c r="B138">
        <v>-0.62013908128748474</v>
      </c>
      <c r="C138">
        <f t="shared" si="803"/>
        <v>4.5036300679225096</v>
      </c>
    </row>
    <row r="139">
      <c r="A139">
        <f t="shared" si="802"/>
        <v>135</v>
      </c>
      <c r="B139">
        <v>0.55435670358155276</v>
      </c>
      <c r="C139">
        <f t="shared" si="803"/>
        <v>4.2442871629378098</v>
      </c>
    </row>
    <row r="140">
      <c r="A140">
        <f t="shared" si="802"/>
        <v>136</v>
      </c>
      <c r="B140">
        <v>-4.8587617165446284</v>
      </c>
      <c r="C140">
        <f t="shared" si="803"/>
        <v>-0.58158336475385297</v>
      </c>
    </row>
    <row r="141">
      <c r="A141">
        <f t="shared" si="802"/>
        <v>137</v>
      </c>
      <c r="B141">
        <v>-0.24725173442981468</v>
      </c>
      <c r="C141">
        <f t="shared" si="803"/>
        <v>1.3233674072978701</v>
      </c>
    </row>
    <row r="142">
      <c r="A142">
        <f t="shared" si="802"/>
        <v>138</v>
      </c>
      <c r="B142">
        <v>-0.3847277234505741</v>
      </c>
      <c r="C142">
        <f t="shared" si="803"/>
        <v>3.4916464093345199</v>
      </c>
    </row>
    <row r="143">
      <c r="A143">
        <f t="shared" si="802"/>
        <v>139</v>
      </c>
      <c r="B143">
        <v>-2.1433699121846428</v>
      </c>
      <c r="C143">
        <f t="shared" si="803"/>
        <v>1.66426622609007</v>
      </c>
    </row>
    <row r="144">
      <c r="A144">
        <f t="shared" si="802"/>
        <v>140</v>
      </c>
      <c r="B144">
        <v>-2.8293252062742349</v>
      </c>
      <c r="C144">
        <f t="shared" si="803"/>
        <v>9.8989837633440006e-02</v>
      </c>
    </row>
    <row r="145">
      <c r="A145">
        <f t="shared" si="802"/>
        <v>141</v>
      </c>
      <c r="B145">
        <v>-4.6406597913258025</v>
      </c>
      <c r="C145">
        <f t="shared" si="803"/>
        <v>-2.05532239446292</v>
      </c>
    </row>
    <row r="146">
      <c r="A146">
        <f t="shared" si="802"/>
        <v>142</v>
      </c>
      <c r="B146">
        <v>4.4023595282677244</v>
      </c>
      <c r="C146">
        <f t="shared" si="803"/>
        <v>6.0820296326048302</v>
      </c>
    </row>
    <row r="147">
      <c r="A147">
        <f t="shared" si="802"/>
        <v>143</v>
      </c>
      <c r="B147">
        <v>1.0380237781213144</v>
      </c>
      <c r="C147">
        <f t="shared" si="803"/>
        <v>7.2392035422551801</v>
      </c>
    </row>
    <row r="148">
      <c r="A148">
        <f t="shared" si="802"/>
        <v>144</v>
      </c>
      <c r="B148">
        <v>-3.0733209607626568</v>
      </c>
      <c r="C148">
        <f t="shared" si="803"/>
        <v>1.4456909282979999</v>
      </c>
    </row>
    <row r="149">
      <c r="A149">
        <f t="shared" si="802"/>
        <v>145</v>
      </c>
      <c r="B149">
        <v>-1.2141125550648808</v>
      </c>
      <c r="C149">
        <f t="shared" si="803"/>
        <v>1.2492269645537899</v>
      </c>
    </row>
    <row r="150">
      <c r="A150">
        <f t="shared" si="802"/>
        <v>146</v>
      </c>
      <c r="B150">
        <v>0.89348266296512779</v>
      </c>
      <c r="C150">
        <f t="shared" si="803"/>
        <v>4.2864263854326898</v>
      </c>
    </row>
    <row r="151">
      <c r="A151">
        <f t="shared" si="802"/>
        <v>147</v>
      </c>
      <c r="B151">
        <v>2.3436799367168093</v>
      </c>
      <c r="C151">
        <f t="shared" si="803"/>
        <v>6.7904212681993696</v>
      </c>
    </row>
    <row r="152">
      <c r="A152">
        <f t="shared" si="802"/>
        <v>148</v>
      </c>
      <c r="B152">
        <v>2.9325155604201338</v>
      </c>
      <c r="C152">
        <f t="shared" si="803"/>
        <v>8.1043555287785392</v>
      </c>
    </row>
    <row r="153">
      <c r="A153">
        <f t="shared" si="802"/>
        <v>149</v>
      </c>
      <c r="B153">
        <v>0.14367537059120353</v>
      </c>
      <c r="C153">
        <f t="shared" si="803"/>
        <v>5.60993315080127</v>
      </c>
    </row>
    <row r="154">
      <c r="A154">
        <f t="shared" si="802"/>
        <v>150</v>
      </c>
      <c r="B154">
        <v>-3.9529352242002846</v>
      </c>
      <c r="C154">
        <f t="shared" si="803"/>
        <v>0.118902461095312</v>
      </c>
    </row>
    <row r="155">
      <c r="A155">
        <f t="shared" si="802"/>
        <v>151</v>
      </c>
      <c r="B155">
        <v>5.5613094153478082</v>
      </c>
      <c r="C155">
        <f t="shared" si="803"/>
        <v>7.5848418032476603</v>
      </c>
    </row>
    <row r="156">
      <c r="A156">
        <f t="shared" si="802"/>
        <v>152</v>
      </c>
      <c r="B156">
        <v>-0.1001986443622106</v>
      </c>
      <c r="C156">
        <f t="shared" si="803"/>
        <v>6.6804560633117003</v>
      </c>
    </row>
    <row r="157">
      <c r="A157">
        <f t="shared" si="802"/>
        <v>153</v>
      </c>
      <c r="B157">
        <v>-0.66606758365839613</v>
      </c>
      <c r="C157">
        <f t="shared" si="803"/>
        <v>3.2838330941604901</v>
      </c>
    </row>
    <row r="158">
      <c r="A158">
        <f t="shared" si="802"/>
        <v>154</v>
      </c>
      <c r="B158">
        <v>-2.0981399943381884</v>
      </c>
      <c r="C158">
        <f t="shared" si="803"/>
        <v>1.5688262138326099</v>
      </c>
    </row>
    <row r="159">
      <c r="A159">
        <f t="shared" si="802"/>
        <v>155</v>
      </c>
      <c r="B159">
        <v>1.2251159106662934</v>
      </c>
      <c r="C159">
        <f t="shared" si="803"/>
        <v>4.1760459134971901</v>
      </c>
    </row>
    <row r="160">
      <c r="A160">
        <f t="shared" si="802"/>
        <v>156</v>
      </c>
      <c r="B160">
        <v>-0.12676325993953469</v>
      </c>
      <c r="C160">
        <f t="shared" si="803"/>
        <v>4.4857946953936203</v>
      </c>
    </row>
    <row r="161">
      <c r="A161">
        <f t="shared" si="802"/>
        <v>157</v>
      </c>
      <c r="B161">
        <v>1.1570064245985454</v>
      </c>
      <c r="C161">
        <f t="shared" si="803"/>
        <v>5.0936247946287798</v>
      </c>
    </row>
    <row r="162">
      <c r="A162">
        <f t="shared" si="802"/>
        <v>158</v>
      </c>
      <c r="B162">
        <v>0.40989502220620444</v>
      </c>
      <c r="C162">
        <f t="shared" si="803"/>
        <v>4.9883982345054898</v>
      </c>
    </row>
    <row r="163">
      <c r="A163">
        <f t="shared" si="802"/>
        <v>159</v>
      </c>
      <c r="B163">
        <v>2.2936521170715727</v>
      </c>
      <c r="C163">
        <f t="shared" si="803"/>
        <v>6.4985996281746701</v>
      </c>
    </row>
    <row r="164">
      <c r="A164">
        <f t="shared" si="802"/>
        <v>160</v>
      </c>
      <c r="B164">
        <v>2.4857117999045872</v>
      </c>
      <c r="C164">
        <f t="shared" si="803"/>
        <v>7.6325378584403802</v>
      </c>
    </row>
    <row r="165">
      <c r="A165">
        <f t="shared" ref="A165:A204" si="804">A164+1</f>
        <v>161</v>
      </c>
      <c r="B165">
        <v>0.69550043821023466</v>
      </c>
      <c r="C165">
        <f t="shared" ref="C165:C204" si="805">4+B165+0.5*B164</f>
        <v>5.9383563381625404</v>
      </c>
    </row>
    <row r="166">
      <c r="A166">
        <f t="shared" si="804"/>
        <v>162</v>
      </c>
      <c r="B166">
        <v>0.6039917171120085</v>
      </c>
      <c r="C166">
        <f t="shared" si="805"/>
        <v>4.9517419362171298</v>
      </c>
    </row>
    <row r="167">
      <c r="A167">
        <f t="shared" si="804"/>
        <v>163</v>
      </c>
      <c r="B167">
        <v>1.6834379817024707</v>
      </c>
      <c r="C167">
        <f t="shared" si="805"/>
        <v>5.9854338402584801</v>
      </c>
    </row>
    <row r="168">
      <c r="A168">
        <f t="shared" si="804"/>
        <v>164</v>
      </c>
      <c r="B168">
        <v>4.4919622321583965</v>
      </c>
      <c r="C168">
        <f t="shared" si="805"/>
        <v>9.3336812230096395</v>
      </c>
    </row>
    <row r="169">
      <c r="A169">
        <f t="shared" si="804"/>
        <v>165</v>
      </c>
      <c r="B169">
        <v>-2.897366653451952</v>
      </c>
      <c r="C169">
        <f t="shared" si="805"/>
        <v>3.3486144626272498</v>
      </c>
    </row>
    <row r="170">
      <c r="A170">
        <f t="shared" si="804"/>
        <v>166</v>
      </c>
      <c r="B170">
        <v>-0.23696162345469679</v>
      </c>
      <c r="C170">
        <f t="shared" si="805"/>
        <v>2.3143550498193202</v>
      </c>
    </row>
    <row r="171">
      <c r="A171">
        <f t="shared" si="804"/>
        <v>167</v>
      </c>
      <c r="B171">
        <v>0.74425925362625922</v>
      </c>
      <c r="C171">
        <f t="shared" si="805"/>
        <v>4.6257784418989099</v>
      </c>
    </row>
    <row r="172">
      <c r="A172">
        <f t="shared" si="804"/>
        <v>168</v>
      </c>
      <c r="B172">
        <v>0.31255868255619462</v>
      </c>
      <c r="C172">
        <f t="shared" si="805"/>
        <v>4.6846883093693297</v>
      </c>
    </row>
    <row r="173">
      <c r="A173">
        <f t="shared" si="804"/>
        <v>169</v>
      </c>
      <c r="B173">
        <v>1.7117356908427732</v>
      </c>
      <c r="C173">
        <f t="shared" si="805"/>
        <v>5.8680150321208702</v>
      </c>
    </row>
    <row r="174">
      <c r="A174">
        <f t="shared" si="804"/>
        <v>170</v>
      </c>
      <c r="B174">
        <v>1.4092291935456605</v>
      </c>
      <c r="C174">
        <f t="shared" si="805"/>
        <v>6.2650970389670499</v>
      </c>
    </row>
    <row r="175">
      <c r="A175">
        <f t="shared" si="804"/>
        <v>171</v>
      </c>
      <c r="B175">
        <v>-1.0444935398867643</v>
      </c>
      <c r="C175">
        <f t="shared" si="805"/>
        <v>3.6601210568860698</v>
      </c>
    </row>
    <row r="176">
      <c r="A176">
        <f t="shared" si="804"/>
        <v>172</v>
      </c>
      <c r="B176">
        <v>2.0468577626200242</v>
      </c>
      <c r="C176">
        <f t="shared" si="805"/>
        <v>5.5246109926766396</v>
      </c>
    </row>
    <row r="177">
      <c r="A177">
        <f t="shared" si="804"/>
        <v>173</v>
      </c>
      <c r="B177">
        <v>1.0181519976236175</v>
      </c>
      <c r="C177">
        <f t="shared" si="805"/>
        <v>6.0415808789336296</v>
      </c>
    </row>
    <row r="178">
      <c r="A178">
        <f t="shared" si="804"/>
        <v>174</v>
      </c>
      <c r="B178">
        <v>-0.14413909445669246</v>
      </c>
      <c r="C178">
        <f t="shared" si="805"/>
        <v>4.3649369043551198</v>
      </c>
    </row>
    <row r="179">
      <c r="A179">
        <f t="shared" si="804"/>
        <v>175</v>
      </c>
      <c r="B179">
        <v>-3.1624769047698686</v>
      </c>
      <c r="C179">
        <f t="shared" si="805"/>
        <v>0.765453548001784</v>
      </c>
    </row>
    <row r="180">
      <c r="A180">
        <f t="shared" si="804"/>
        <v>176</v>
      </c>
      <c r="B180">
        <v>1.0643808418547649</v>
      </c>
      <c r="C180">
        <f t="shared" si="805"/>
        <v>3.4831423894698301</v>
      </c>
    </row>
    <row r="181">
      <c r="A181">
        <f t="shared" si="804"/>
        <v>177</v>
      </c>
      <c r="B181">
        <v>-0.37541754431011487</v>
      </c>
      <c r="C181">
        <f t="shared" si="805"/>
        <v>4.1567728766172802</v>
      </c>
    </row>
    <row r="182">
      <c r="A182">
        <f t="shared" si="804"/>
        <v>178</v>
      </c>
      <c r="B182">
        <v>-1.3024912863125959</v>
      </c>
      <c r="C182">
        <f t="shared" si="805"/>
        <v>2.5097999415323402</v>
      </c>
    </row>
    <row r="183">
      <c r="A183">
        <f t="shared" si="804"/>
        <v>179</v>
      </c>
      <c r="B183">
        <v>0.14623880979302159</v>
      </c>
      <c r="C183">
        <f t="shared" si="805"/>
        <v>3.49499316663672</v>
      </c>
    </row>
    <row r="184">
      <c r="A184">
        <f t="shared" si="804"/>
        <v>180</v>
      </c>
      <c r="B184">
        <v>-0.79752555006842474</v>
      </c>
      <c r="C184">
        <f t="shared" si="805"/>
        <v>3.2755938548280898</v>
      </c>
    </row>
    <row r="185">
      <c r="A185">
        <f t="shared" si="804"/>
        <v>181</v>
      </c>
      <c r="B185">
        <v>2.1337494089782312</v>
      </c>
      <c r="C185">
        <f t="shared" si="805"/>
        <v>5.7349866339440201</v>
      </c>
    </row>
    <row r="186">
      <c r="A186">
        <f t="shared" si="804"/>
        <v>182</v>
      </c>
      <c r="B186">
        <v>-7.5519709735454965e-02</v>
      </c>
      <c r="C186">
        <f t="shared" si="805"/>
        <v>4.9913549947536699</v>
      </c>
    </row>
    <row r="187">
      <c r="A187">
        <f t="shared" si="804"/>
        <v>183</v>
      </c>
      <c r="B187">
        <v>-1.6639090449239911</v>
      </c>
      <c r="C187">
        <f t="shared" si="805"/>
        <v>2.29833110020828</v>
      </c>
    </row>
    <row r="188">
      <c r="A188">
        <f t="shared" si="804"/>
        <v>184</v>
      </c>
      <c r="B188">
        <v>1.5086760682566831</v>
      </c>
      <c r="C188">
        <f t="shared" si="805"/>
        <v>4.67672154579469</v>
      </c>
    </row>
    <row r="189">
      <c r="A189">
        <f t="shared" si="804"/>
        <v>185</v>
      </c>
      <c r="B189">
        <v>2.3902319500511857</v>
      </c>
      <c r="C189">
        <f t="shared" si="805"/>
        <v>7.1445699841795296</v>
      </c>
    </row>
    <row r="190">
      <c r="A190">
        <f t="shared" si="804"/>
        <v>186</v>
      </c>
      <c r="B190">
        <v>-3.3171698035556143</v>
      </c>
      <c r="C190">
        <f t="shared" si="805"/>
        <v>1.8779461714699901</v>
      </c>
    </row>
    <row r="191">
      <c r="A191">
        <f t="shared" si="804"/>
        <v>187</v>
      </c>
      <c r="B191">
        <v>1.0781329144528979</v>
      </c>
      <c r="C191">
        <f t="shared" si="805"/>
        <v>3.4195480126750901</v>
      </c>
    </row>
    <row r="192">
      <c r="A192">
        <f t="shared" si="804"/>
        <v>188</v>
      </c>
      <c r="B192">
        <v>1.5567309462376924</v>
      </c>
      <c r="C192">
        <f t="shared" si="805"/>
        <v>6.0957974034641396</v>
      </c>
    </row>
    <row r="193">
      <c r="A193">
        <f t="shared" si="804"/>
        <v>189</v>
      </c>
      <c r="B193">
        <v>2.3070163158394528</v>
      </c>
      <c r="C193">
        <f t="shared" si="805"/>
        <v>7.0853817889583004</v>
      </c>
    </row>
    <row r="194">
      <c r="A194">
        <f t="shared" si="804"/>
        <v>190</v>
      </c>
      <c r="B194">
        <v>0.55441335405162306</v>
      </c>
      <c r="C194">
        <f t="shared" si="805"/>
        <v>5.7079215119713496</v>
      </c>
    </row>
    <row r="195">
      <c r="A195">
        <f t="shared" si="804"/>
        <v>191</v>
      </c>
      <c r="B195">
        <v>-1.9751380436788943</v>
      </c>
      <c r="C195">
        <f t="shared" si="805"/>
        <v>2.30206863334692</v>
      </c>
    </row>
    <row r="196">
      <c r="A196">
        <f t="shared" si="804"/>
        <v>192</v>
      </c>
      <c r="B196">
        <v>0.91198382356160401</v>
      </c>
      <c r="C196">
        <f t="shared" si="805"/>
        <v>3.9244148017221501</v>
      </c>
    </row>
    <row r="197">
      <c r="A197">
        <f t="shared" si="804"/>
        <v>193</v>
      </c>
      <c r="B197">
        <v>-0.81463532483798784</v>
      </c>
      <c r="C197">
        <f t="shared" si="805"/>
        <v>3.6413565869428099</v>
      </c>
    </row>
    <row r="198">
      <c r="A198">
        <f t="shared" si="804"/>
        <v>194</v>
      </c>
      <c r="B198">
        <v>0.49076938257403002</v>
      </c>
      <c r="C198">
        <f t="shared" si="805"/>
        <v>4.0834517201550398</v>
      </c>
    </row>
    <row r="199">
      <c r="A199">
        <f t="shared" si="804"/>
        <v>195</v>
      </c>
      <c r="B199">
        <v>-2.2885601654883678</v>
      </c>
      <c r="C199">
        <f t="shared" si="805"/>
        <v>1.9568245257986501</v>
      </c>
    </row>
    <row r="200">
      <c r="A200">
        <f t="shared" si="804"/>
        <v>196</v>
      </c>
      <c r="B200">
        <v>0.93023171808179261</v>
      </c>
      <c r="C200">
        <f t="shared" si="805"/>
        <v>3.7859516353376002</v>
      </c>
    </row>
    <row r="201">
      <c r="A201">
        <f t="shared" si="804"/>
        <v>197</v>
      </c>
      <c r="B201">
        <v>0.79644074037922385</v>
      </c>
      <c r="C201">
        <f t="shared" si="805"/>
        <v>5.2615565994201301</v>
      </c>
    </row>
    <row r="202">
      <c r="A202">
        <f t="shared" si="804"/>
        <v>198</v>
      </c>
      <c r="B202">
        <v>4.1441833756284643</v>
      </c>
      <c r="C202">
        <f t="shared" si="805"/>
        <v>8.5424037458180795</v>
      </c>
    </row>
    <row r="203">
      <c r="A203">
        <f t="shared" si="804"/>
        <v>199</v>
      </c>
      <c r="B203">
        <v>-0.81179966656030955</v>
      </c>
      <c r="C203">
        <f t="shared" si="805"/>
        <v>5.2602920212539299</v>
      </c>
    </row>
    <row r="204">
      <c r="A204">
        <f t="shared" si="804"/>
        <v>200</v>
      </c>
      <c r="B204" s="14">
        <v>-1.9638608721279489</v>
      </c>
      <c r="C204" s="14">
        <f t="shared" si="805"/>
        <v>1.6302392945919</v>
      </c>
      <c r="E204" s="15" t="s">
        <v>341</v>
      </c>
      <c r="F204">
        <f>VAR(C6:C204)</f>
        <v>4.4625975619998099</v>
      </c>
    </row>
    <row r="206">
      <c r="B206" t="s">
        <v>514</v>
      </c>
    </row>
    <row r="207">
      <c r="B20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0" max="10" width="4.2678570000000002"/>
    <col customWidth="1" min="11" max="11" width="22"/>
  </cols>
  <sheetData>
    <row r="1">
      <c r="A1" s="1" t="s">
        <v>515</v>
      </c>
      <c r="E1" s="1" t="s">
        <v>516</v>
      </c>
      <c r="H1" t="s">
        <v>517</v>
      </c>
    </row>
    <row r="3">
      <c r="A3" s="15" t="s">
        <v>448</v>
      </c>
      <c r="B3" s="7">
        <v>5</v>
      </c>
      <c r="E3" s="15" t="s">
        <v>448</v>
      </c>
      <c r="F3" s="7">
        <v>6</v>
      </c>
      <c r="H3" s="15" t="s">
        <v>448</v>
      </c>
      <c r="I3" s="7">
        <v>6</v>
      </c>
    </row>
    <row r="4">
      <c r="A4" s="15" t="s">
        <v>449</v>
      </c>
      <c r="B4" s="13">
        <v>0.40000000000000002</v>
      </c>
      <c r="E4" s="15" t="s">
        <v>449</v>
      </c>
      <c r="F4" s="10">
        <v>0.40000000000000002</v>
      </c>
      <c r="H4" s="15" t="s">
        <v>449</v>
      </c>
      <c r="I4" s="10">
        <v>0.40000000000000002</v>
      </c>
    </row>
    <row r="5">
      <c r="A5" s="15"/>
      <c r="B5" s="15"/>
      <c r="C5" s="15"/>
      <c r="E5" s="15" t="s">
        <v>459</v>
      </c>
      <c r="F5" s="13">
        <v>-0.20000000000000001</v>
      </c>
      <c r="H5" s="15" t="s">
        <v>459</v>
      </c>
      <c r="I5" s="13">
        <v>-0.20000000000000001</v>
      </c>
    </row>
    <row r="7">
      <c r="A7" t="s">
        <v>518</v>
      </c>
      <c r="E7" t="s">
        <v>518</v>
      </c>
      <c r="H7" t="s">
        <v>518</v>
      </c>
    </row>
    <row r="9">
      <c r="A9" s="15" t="s">
        <v>519</v>
      </c>
      <c r="B9" s="7">
        <f>B3/(1-B4)</f>
        <v>8.3333333333333393</v>
      </c>
      <c r="E9" s="15" t="s">
        <v>519</v>
      </c>
      <c r="F9" s="7">
        <f>F3/(1-F4-F5)</f>
        <v>7.5</v>
      </c>
      <c r="H9" s="15" t="s">
        <v>519</v>
      </c>
      <c r="I9" s="7">
        <f>I3/(1-I4-I5)</f>
        <v>7.5</v>
      </c>
      <c r="K9" t="e">
        <v>#NAME?</v>
      </c>
    </row>
    <row r="10">
      <c r="A10" s="15" t="s">
        <v>520</v>
      </c>
      <c r="B10" s="10">
        <v>1</v>
      </c>
      <c r="E10" s="15" t="s">
        <v>520</v>
      </c>
      <c r="F10" s="10">
        <v>1</v>
      </c>
      <c r="H10" s="15" t="s">
        <v>520</v>
      </c>
      <c r="I10" s="10" t="e">
        <v>#NAME?</v>
      </c>
      <c r="K10" t="e">
        <v>#NAME?</v>
      </c>
    </row>
    <row r="11">
      <c r="A11" s="15" t="s">
        <v>521</v>
      </c>
      <c r="B11" s="10">
        <f>B4</f>
        <v>0.40000000000000002</v>
      </c>
      <c r="E11" s="15" t="s">
        <v>521</v>
      </c>
      <c r="F11" s="10">
        <f>F4</f>
        <v>0.40000000000000002</v>
      </c>
      <c r="H11" s="15" t="s">
        <v>521</v>
      </c>
      <c r="I11" s="10" t="e">
        <v>#NAME?</v>
      </c>
    </row>
    <row r="12">
      <c r="A12" s="15" t="s">
        <v>522</v>
      </c>
      <c r="B12" s="10">
        <f>B4^2</f>
        <v>0.16</v>
      </c>
      <c r="E12" s="15" t="s">
        <v>522</v>
      </c>
      <c r="F12" s="10">
        <f>F11^2+F5</f>
        <v>-4.0000000000000001e-02</v>
      </c>
      <c r="H12" s="15" t="s">
        <v>522</v>
      </c>
      <c r="I12" s="10" t="e">
        <v>#NAME?</v>
      </c>
    </row>
    <row r="13">
      <c r="A13" s="15" t="s">
        <v>523</v>
      </c>
      <c r="B13" s="10">
        <f>B4^3</f>
        <v>6.4000000000000001e-02</v>
      </c>
      <c r="E13" s="15" t="s">
        <v>523</v>
      </c>
      <c r="F13" s="10">
        <f>F11*(F12+F5)</f>
        <v>-9.6000000000000002e-02</v>
      </c>
      <c r="H13" s="15" t="s">
        <v>523</v>
      </c>
      <c r="I13" s="10" t="e">
        <v>#NAME?</v>
      </c>
    </row>
    <row r="14">
      <c r="A14" s="15" t="s">
        <v>524</v>
      </c>
      <c r="B14" s="13">
        <f>B4^4</f>
        <v>2.5600000000000001e-02</v>
      </c>
      <c r="E14" s="15" t="s">
        <v>524</v>
      </c>
      <c r="F14" s="13">
        <f>F13*F4+F12*F5</f>
        <v>-3.04e-02</v>
      </c>
      <c r="H14" s="15" t="s">
        <v>524</v>
      </c>
      <c r="I14" s="13" t="e">
        <v>#NAME?</v>
      </c>
    </row>
    <row r="16">
      <c r="A16" s="54" t="s">
        <v>525</v>
      </c>
    </row>
    <row r="18">
      <c r="A18" s="15" t="s">
        <v>519</v>
      </c>
      <c r="B18" s="7">
        <f>B9</f>
        <v>8.3333333333333393</v>
      </c>
      <c r="E18" s="15" t="s">
        <v>519</v>
      </c>
      <c r="F18" s="7">
        <f>F9</f>
        <v>7.5</v>
      </c>
    </row>
    <row r="19">
      <c r="A19" s="15" t="s">
        <v>520</v>
      </c>
      <c r="B19" s="10" t="e">
        <v>#NAME?</v>
      </c>
      <c r="E19" s="15" t="s">
        <v>520</v>
      </c>
      <c r="F19" s="10" t="e">
        <v>#NAME?</v>
      </c>
    </row>
    <row r="20">
      <c r="A20" s="15" t="s">
        <v>521</v>
      </c>
      <c r="B20" s="10" t="e">
        <v>#NAME?</v>
      </c>
      <c r="E20" s="15" t="s">
        <v>521</v>
      </c>
      <c r="F20" s="10" t="e">
        <v>#NAME?</v>
      </c>
    </row>
    <row r="21">
      <c r="A21" s="15" t="s">
        <v>522</v>
      </c>
      <c r="B21" s="10" t="e">
        <v>#NAME?</v>
      </c>
      <c r="E21" s="15" t="s">
        <v>522</v>
      </c>
      <c r="F21" s="10" t="e">
        <v>#NAME?</v>
      </c>
    </row>
    <row r="22">
      <c r="A22" s="15" t="s">
        <v>523</v>
      </c>
      <c r="B22" s="10" t="e">
        <v>#NAME?</v>
      </c>
      <c r="E22" s="15" t="s">
        <v>523</v>
      </c>
      <c r="F22" s="10" t="e">
        <v>#NAME?</v>
      </c>
    </row>
    <row r="23">
      <c r="A23" s="15" t="s">
        <v>524</v>
      </c>
      <c r="B23" s="13" t="e">
        <v>#NAME?</v>
      </c>
      <c r="E23" s="15" t="s">
        <v>524</v>
      </c>
      <c r="F23" s="13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I20" activeCellId="0" sqref="I20"/>
    </sheetView>
  </sheetViews>
  <sheetFormatPr defaultRowHeight="14.25"/>
  <cols>
    <col customWidth="1" min="1" max="1" width="4.7232139999999996"/>
    <col customWidth="1" min="4" max="4" width="3.1785709999999998"/>
    <col customWidth="1" min="7" max="7" width="3.5446430000000002"/>
    <col customWidth="1" min="8" max="8" width="26.455356999999999"/>
    <col customWidth="1" min="9" max="9" width="9.1785709999999998"/>
    <col customWidth="1" min="10" max="10" style="15" width="4.5446429999999998"/>
    <col customWidth="1" min="13" max="13" width="4.5446429999999998"/>
    <col customWidth="1" min="16" max="16" width="3"/>
    <col customWidth="1" min="17" max="17" width="17.455356999999999"/>
    <col customWidth="1" min="31" max="31" width="4"/>
    <col customWidth="1" min="32" max="32" width="55.455356999999999"/>
  </cols>
  <sheetData>
    <row r="1">
      <c r="A1" s="1" t="s">
        <v>526</v>
      </c>
    </row>
    <row r="2" s="55" customFormat="1">
      <c r="A2" s="56"/>
      <c r="J2" s="57"/>
      <c r="AC2" s="57" t="s">
        <v>527</v>
      </c>
      <c r="AD2" s="57" t="s">
        <v>528</v>
      </c>
      <c r="AF2" s="57" t="s">
        <v>529</v>
      </c>
    </row>
    <row r="3" s="55" customFormat="1" ht="15" customHeight="1">
      <c r="B3" s="58" t="s">
        <v>342</v>
      </c>
      <c r="C3" s="58" t="s">
        <v>343</v>
      </c>
      <c r="E3" s="58" t="s">
        <v>530</v>
      </c>
      <c r="F3" s="58" t="s">
        <v>486</v>
      </c>
      <c r="G3" s="58"/>
      <c r="H3" s="58" t="s">
        <v>531</v>
      </c>
      <c r="I3" s="57"/>
      <c r="J3" s="58" t="s">
        <v>176</v>
      </c>
      <c r="K3" s="59" t="s">
        <v>532</v>
      </c>
      <c r="L3" s="58" t="s">
        <v>533</v>
      </c>
      <c r="N3" s="58" t="s">
        <v>530</v>
      </c>
      <c r="O3" s="58" t="s">
        <v>534</v>
      </c>
      <c r="P3" s="58"/>
      <c r="Q3" s="58" t="s">
        <v>531</v>
      </c>
      <c r="S3" s="55" t="s">
        <v>535</v>
      </c>
      <c r="AB3" s="57" t="s">
        <v>176</v>
      </c>
      <c r="AC3" s="60">
        <f>COUNT(C4:C203)</f>
        <v>200</v>
      </c>
      <c r="AD3" s="61">
        <f>AC3</f>
        <v>200</v>
      </c>
      <c r="AF3" s="55" t="e">
        <v>#NAME?</v>
      </c>
    </row>
    <row r="4" s="55" customFormat="1" ht="15" customHeight="1">
      <c r="A4" s="55">
        <v>1</v>
      </c>
      <c r="B4" s="55">
        <v>-0.51207912635870179</v>
      </c>
      <c r="C4" s="55">
        <f>B4</f>
        <v>-0.51207912635870201</v>
      </c>
      <c r="E4" s="57" t="s">
        <v>283</v>
      </c>
      <c r="F4" s="55">
        <f>AVERAGE(C4:C203)</f>
        <v>3.2013189005274001e-02</v>
      </c>
      <c r="H4" s="55" t="e">
        <v>#NAME?</v>
      </c>
      <c r="J4" s="57">
        <v>0</v>
      </c>
      <c r="L4" s="55">
        <f>O9</f>
        <v>0.21565115265493701</v>
      </c>
      <c r="N4" s="57" t="s">
        <v>536</v>
      </c>
      <c r="O4" s="57" t="s">
        <v>537</v>
      </c>
      <c r="P4" s="57"/>
      <c r="Q4" s="55" t="e">
        <v>#NAME?</v>
      </c>
      <c r="AB4" s="57" t="s">
        <v>538</v>
      </c>
      <c r="AC4" s="62" t="e">
        <f>F10</f>
        <v>#NAME?</v>
      </c>
      <c r="AD4" s="63">
        <v>-0.40000000000000002</v>
      </c>
      <c r="AF4" s="55" t="e">
        <v>#NAME?</v>
      </c>
    </row>
    <row r="5" s="55" customFormat="1" ht="15" customHeight="1">
      <c r="A5" s="55">
        <f t="shared" ref="A5:A10" si="806">A4+1</f>
        <v>2</v>
      </c>
      <c r="B5" s="55">
        <v>-0.36334374693531363</v>
      </c>
      <c r="C5" s="55">
        <f t="shared" ref="C5:C9" si="807">B5-0.4*B4</f>
        <v>-0.158512096391833</v>
      </c>
      <c r="E5" s="57" t="s">
        <v>539</v>
      </c>
      <c r="F5" s="55">
        <f>VARP(C4:C203)</f>
        <v>0.21565115265493701</v>
      </c>
      <c r="H5" s="55" t="e">
        <v>#NAME?</v>
      </c>
      <c r="J5" s="57">
        <f t="shared" ref="J5:J10" si="808">J4+1</f>
        <v>1</v>
      </c>
      <c r="K5" s="55" t="e">
        <f t="shared" ref="K5:K10" si="809">O$10/L4</f>
        <v>#NAME?</v>
      </c>
      <c r="L5" s="55" t="e">
        <f t="shared" ref="L5:L9" si="810">O$9-K5^2*L4</f>
        <v>#NAME?</v>
      </c>
      <c r="N5" s="57" t="s">
        <v>540</v>
      </c>
      <c r="O5" s="57" t="s">
        <v>541</v>
      </c>
      <c r="P5" s="57"/>
      <c r="Q5" s="55" t="e">
        <v>#NAME?</v>
      </c>
      <c r="S5" s="55" t="s">
        <v>542</v>
      </c>
      <c r="V5" s="55" t="s">
        <v>385</v>
      </c>
      <c r="W5" s="55">
        <v>5.0000000000000003e-02</v>
      </c>
      <c r="AB5" s="57" t="s">
        <v>183</v>
      </c>
      <c r="AC5" s="64" t="e">
        <f>SQRT((1+AC4^2+4*AC4^4+AC4^6+AC4^8)/(AC3*(1-AC4^2)^2))</f>
        <v>#NAME?</v>
      </c>
      <c r="AD5" s="65">
        <f>(1+AD4^2+4*AD4^4+AD4^6+AD4^8)/(AD3*(1-AD4^2)^2)</f>
        <v>8.9792471655329997e-03</v>
      </c>
      <c r="AF5" s="55" t="e">
        <v>#NAME?</v>
      </c>
    </row>
    <row r="6" s="55" customFormat="1" ht="15" customHeight="1">
      <c r="A6" s="55">
        <f t="shared" si="806"/>
        <v>3</v>
      </c>
      <c r="B6" s="55">
        <v>0.11192767204794296</v>
      </c>
      <c r="C6" s="55">
        <f t="shared" si="807"/>
        <v>0.25726517082206901</v>
      </c>
      <c r="E6" s="66" t="s">
        <v>543</v>
      </c>
      <c r="F6" s="67" t="e">
        <v>#NAME?</v>
      </c>
      <c r="G6" s="67"/>
      <c r="H6" s="67" t="e">
        <v>#NAME?</v>
      </c>
      <c r="J6" s="57">
        <f t="shared" si="808"/>
        <v>2</v>
      </c>
      <c r="K6" s="55" t="e">
        <f t="shared" si="809"/>
        <v>#NAME?</v>
      </c>
      <c r="L6" s="55" t="e">
        <f t="shared" si="810"/>
        <v>#NAME?</v>
      </c>
      <c r="N6" s="66" t="s">
        <v>544</v>
      </c>
      <c r="O6" s="66" t="s">
        <v>545</v>
      </c>
      <c r="P6" s="66"/>
      <c r="Q6" s="67" t="e">
        <v>#NAME?</v>
      </c>
      <c r="S6" s="68" t="s">
        <v>546</v>
      </c>
      <c r="T6" s="68" t="s">
        <v>547</v>
      </c>
      <c r="U6" s="68" t="s">
        <v>548</v>
      </c>
      <c r="V6" s="68" t="s">
        <v>549</v>
      </c>
      <c r="W6" s="68" t="s">
        <v>206</v>
      </c>
      <c r="X6" s="68" t="s">
        <v>294</v>
      </c>
      <c r="Y6" s="68" t="s">
        <v>550</v>
      </c>
      <c r="Z6" s="68" t="s">
        <v>551</v>
      </c>
      <c r="AF6" s="55" t="e">
        <v>#NAME?</v>
      </c>
    </row>
    <row r="7" s="55" customFormat="1" ht="15" customHeight="1">
      <c r="A7" s="55">
        <f t="shared" si="806"/>
        <v>4</v>
      </c>
      <c r="B7" s="55">
        <v>2.6947470072676359e-02</v>
      </c>
      <c r="C7" s="55">
        <f t="shared" si="807"/>
        <v>-1.7823598746500999e-02</v>
      </c>
      <c r="J7" s="57">
        <f t="shared" si="808"/>
        <v>3</v>
      </c>
      <c r="K7" s="55" t="e">
        <f t="shared" si="809"/>
        <v>#NAME?</v>
      </c>
      <c r="L7" s="55" t="e">
        <f t="shared" si="810"/>
        <v>#NAME?</v>
      </c>
      <c r="S7" s="55">
        <f>COUNT(C4:C203)</f>
        <v>200</v>
      </c>
      <c r="T7" s="55">
        <f>AVERAGE(C4:C203)</f>
        <v>3.2013189005274001e-02</v>
      </c>
      <c r="U7" s="55">
        <f>STDEV(C4:C203)</f>
        <v>0.46554787808439402</v>
      </c>
      <c r="V7" s="55">
        <f>U7/SQRT(S7)</f>
        <v>3.2919206156048e-02</v>
      </c>
      <c r="W7" s="55">
        <f>(T7-W9)/V7</f>
        <v>0.97247755166150784</v>
      </c>
      <c r="X7" s="55">
        <f>S7-1</f>
        <v>199</v>
      </c>
      <c r="Y7" s="55">
        <f>ABS(T7-W9)/U7</f>
        <v>6.8764547133153997e-02</v>
      </c>
      <c r="Z7" s="55">
        <f>SQRT(W7^2/(W7^2+X7))</f>
        <v>6.8773881656669006e-02</v>
      </c>
      <c r="AB7" s="57" t="s">
        <v>203</v>
      </c>
      <c r="AC7" s="69">
        <v>5.0000000000000003e-02</v>
      </c>
      <c r="AD7" s="69">
        <v>5.0000000000000003e-02</v>
      </c>
    </row>
    <row r="8" s="55" customFormat="1" ht="15" customHeight="1">
      <c r="A8" s="55">
        <f t="shared" si="806"/>
        <v>5</v>
      </c>
      <c r="B8" s="55">
        <v>-1.6753415454899442e-02</v>
      </c>
      <c r="C8" s="55">
        <f t="shared" si="807"/>
        <v>-2.7532403483969004e-02</v>
      </c>
      <c r="J8" s="57">
        <f t="shared" si="808"/>
        <v>4</v>
      </c>
      <c r="K8" s="55" t="e">
        <f t="shared" si="809"/>
        <v>#NAME?</v>
      </c>
      <c r="L8" s="55" t="e">
        <f t="shared" si="810"/>
        <v>#NAME?</v>
      </c>
      <c r="N8" s="58" t="s">
        <v>530</v>
      </c>
      <c r="O8" s="58" t="s">
        <v>486</v>
      </c>
      <c r="P8" s="58"/>
      <c r="Q8" s="58" t="s">
        <v>531</v>
      </c>
      <c r="S8" s="70"/>
      <c r="T8" s="70"/>
      <c r="U8" s="70"/>
      <c r="V8" s="70"/>
      <c r="W8" s="70"/>
      <c r="X8" s="70"/>
      <c r="Y8" s="70"/>
      <c r="Z8" s="70"/>
      <c r="AB8" s="57" t="s">
        <v>215</v>
      </c>
      <c r="AC8" s="71" t="e">
        <f>AC4-NORMSINV(1-AC7)*AC5</f>
        <v>#NAME?</v>
      </c>
      <c r="AD8" s="71">
        <f>AD4-NORMSINV(1-AD7)*AD5</f>
        <v>-0.41476954615014805</v>
      </c>
      <c r="AF8" s="55" t="e">
        <v>#NAME?</v>
      </c>
    </row>
    <row r="9" s="55" customFormat="1" ht="15" customHeight="1">
      <c r="A9" s="55">
        <f t="shared" si="806"/>
        <v>6</v>
      </c>
      <c r="B9" s="55">
        <v>8.1914358993839198e-02</v>
      </c>
      <c r="C9" s="55">
        <f t="shared" si="807"/>
        <v>8.8615725175799021e-02</v>
      </c>
      <c r="E9" s="58" t="s">
        <v>530</v>
      </c>
      <c r="F9" s="58" t="s">
        <v>486</v>
      </c>
      <c r="G9" s="58"/>
      <c r="H9" s="58" t="s">
        <v>531</v>
      </c>
      <c r="I9" s="57"/>
      <c r="J9" s="57">
        <f t="shared" si="808"/>
        <v>5</v>
      </c>
      <c r="K9" s="55" t="e">
        <f t="shared" si="809"/>
        <v>#NAME?</v>
      </c>
      <c r="L9" s="55" t="e">
        <f t="shared" si="810"/>
        <v>#NAME?</v>
      </c>
      <c r="N9" s="57" t="s">
        <v>552</v>
      </c>
      <c r="O9" s="55">
        <f>VARP(C4:C203)</f>
        <v>0.21565115265493701</v>
      </c>
      <c r="Q9" s="55" t="e">
        <v>#NAME?</v>
      </c>
      <c r="S9" s="55" t="s">
        <v>553</v>
      </c>
      <c r="V9" s="55" t="s">
        <v>554</v>
      </c>
      <c r="W9" s="55">
        <v>0</v>
      </c>
      <c r="AB9" s="57" t="s">
        <v>216</v>
      </c>
      <c r="AC9" s="72" t="e">
        <f>AC4+NORMSINV(1-AC7)*AC5</f>
        <v>#NAME?</v>
      </c>
      <c r="AD9" s="72">
        <f>AD4+NORMSINV(1-AD7)*AD5</f>
        <v>-0.38523045384985199</v>
      </c>
      <c r="AF9" s="55" t="e">
        <v>#NAME?</v>
      </c>
    </row>
    <row r="10" s="55" customFormat="1" ht="15" customHeight="1">
      <c r="A10" s="55">
        <f t="shared" si="806"/>
        <v>7</v>
      </c>
      <c r="B10" s="55">
        <v>0.63820678984685353</v>
      </c>
      <c r="C10" s="55">
        <f>B10-0.4*B9</f>
        <v>0.60544104624931805</v>
      </c>
      <c r="E10" s="57" t="s">
        <v>555</v>
      </c>
      <c r="F10" s="55" t="e">
        <f>(1-SQRT(1-4*F6^2))/(2*F6)</f>
        <v>#NAME?</v>
      </c>
      <c r="H10" s="55" t="e">
        <v>#NAME?</v>
      </c>
      <c r="J10" s="57">
        <f t="shared" si="808"/>
        <v>6</v>
      </c>
      <c r="K10" s="55" t="e">
        <f t="shared" si="809"/>
        <v>#NAME?</v>
      </c>
      <c r="L10" s="55" t="e">
        <f>O$9-K10^2*L9</f>
        <v>#NAME?</v>
      </c>
      <c r="N10" s="66" t="s">
        <v>556</v>
      </c>
      <c r="O10" s="67" t="e">
        <v>#NAME?</v>
      </c>
      <c r="P10" s="67"/>
      <c r="Q10" s="67" t="e">
        <v>#NAME?</v>
      </c>
      <c r="S10" s="68" t="s">
        <v>557</v>
      </c>
      <c r="T10" s="68" t="s">
        <v>189</v>
      </c>
      <c r="U10" s="68" t="s">
        <v>558</v>
      </c>
      <c r="V10" s="68" t="s">
        <v>215</v>
      </c>
      <c r="W10" s="68" t="s">
        <v>216</v>
      </c>
      <c r="X10" s="68" t="s">
        <v>204</v>
      </c>
    </row>
    <row r="11" s="55" customFormat="1" ht="15" customHeight="1">
      <c r="A11" s="55">
        <f t="shared" ref="A11:A74" si="811">A10+1</f>
        <v>8</v>
      </c>
      <c r="B11" s="55">
        <v>0.13169322212412096</v>
      </c>
      <c r="C11" s="55">
        <f t="shared" ref="C11:C74" si="812">B11-0.4*B10</f>
        <v>-0.123589493814621</v>
      </c>
      <c r="E11" s="66" t="s">
        <v>555</v>
      </c>
      <c r="F11" s="67" t="e">
        <f>(1+SQRT(1-4*F6^2))/(2*F6)</f>
        <v>#NAME?</v>
      </c>
      <c r="G11" s="67"/>
      <c r="H11" s="67" t="e">
        <v>#NAME?</v>
      </c>
      <c r="J11" s="57">
        <f t="shared" ref="J11:J14" si="813">J10+1</f>
        <v>7</v>
      </c>
      <c r="K11" s="55" t="e">
        <f t="shared" ref="K11:K14" si="814">O$10/L10</f>
        <v>#NAME?</v>
      </c>
      <c r="L11" s="55" t="e">
        <f t="shared" ref="L11:L14" si="815">O$9-K11^2*L10</f>
        <v>#NAME?</v>
      </c>
      <c r="S11" s="55" t="s">
        <v>559</v>
      </c>
      <c r="T11" s="55">
        <f>TDIST(ABS(W7),X7,1)</f>
        <v>0.16599679693521999</v>
      </c>
      <c r="U11" s="55">
        <f>TINV(W5*2,X7)</f>
        <v>1.65254667401314</v>
      </c>
      <c r="X11" s="57" t="str">
        <f>IF(T11&lt;W5,"yes","no")</f>
        <v>no</v>
      </c>
    </row>
    <row r="12" s="55" customFormat="1" ht="15" customHeight="1">
      <c r="A12" s="55">
        <f t="shared" si="811"/>
        <v>9</v>
      </c>
      <c r="B12" s="55">
        <v>-5.7137285520943486e-02</v>
      </c>
      <c r="C12" s="55">
        <f t="shared" si="812"/>
        <v>-0.10981457437059099</v>
      </c>
      <c r="E12" s="57" t="s">
        <v>457</v>
      </c>
      <c r="F12" s="55" t="e">
        <f>F5/(1+F10^2)</f>
        <v>#NAME?</v>
      </c>
      <c r="H12" s="55" t="e">
        <v>#NAME?</v>
      </c>
      <c r="J12" s="57">
        <f t="shared" si="813"/>
        <v>8</v>
      </c>
      <c r="K12" s="55" t="e">
        <f t="shared" si="814"/>
        <v>#NAME?</v>
      </c>
      <c r="L12" s="55" t="e">
        <f t="shared" si="815"/>
        <v>#NAME?</v>
      </c>
      <c r="S12" s="55" t="s">
        <v>560</v>
      </c>
      <c r="T12" s="55">
        <f>TDIST(ABS(W7),X7,2)</f>
        <v>0.33199359387044097</v>
      </c>
      <c r="U12" s="55">
        <f>TINV(W5,X7)</f>
        <v>1.97195664048195</v>
      </c>
      <c r="V12" s="55">
        <f>T7-U12*V7</f>
        <v>-3.2902058173539001e-02</v>
      </c>
      <c r="W12" s="55">
        <f>T7+U12*V7</f>
        <v>9.6928436184087002e-02</v>
      </c>
      <c r="X12" s="57" t="str">
        <f>IF(T12&lt;W5,"yes","no")</f>
        <v>no</v>
      </c>
    </row>
    <row r="13" s="55" customFormat="1" ht="15" customHeight="1">
      <c r="A13" s="55">
        <f t="shared" si="811"/>
        <v>10</v>
      </c>
      <c r="B13" s="55">
        <v>0.54124755369311517</v>
      </c>
      <c r="C13" s="55">
        <f t="shared" si="812"/>
        <v>0.56410246790149199</v>
      </c>
      <c r="E13" s="66" t="s">
        <v>457</v>
      </c>
      <c r="F13" s="67" t="e">
        <f>F5/(1+F11^2)</f>
        <v>#NAME?</v>
      </c>
      <c r="G13" s="67"/>
      <c r="H13" s="67" t="e">
        <v>#NAME?</v>
      </c>
      <c r="J13" s="57">
        <f t="shared" si="813"/>
        <v>9</v>
      </c>
      <c r="K13" s="55" t="e">
        <f t="shared" si="814"/>
        <v>#NAME?</v>
      </c>
      <c r="L13" s="55" t="e">
        <f t="shared" si="815"/>
        <v>#NAME?</v>
      </c>
      <c r="S13" s="70"/>
      <c r="T13" s="70"/>
      <c r="U13" s="70"/>
      <c r="V13" s="70"/>
      <c r="W13" s="70"/>
      <c r="X13" s="70"/>
    </row>
    <row r="14" s="55" customFormat="1" ht="15" customHeight="1">
      <c r="A14" s="55">
        <f t="shared" si="811"/>
        <v>11</v>
      </c>
      <c r="B14" s="55">
        <v>0.43912452837972638</v>
      </c>
      <c r="C14" s="55">
        <f t="shared" si="812"/>
        <v>0.22262550690248001</v>
      </c>
      <c r="J14" s="66">
        <f t="shared" si="813"/>
        <v>10</v>
      </c>
      <c r="K14" s="67" t="e">
        <f t="shared" si="814"/>
        <v>#NAME?</v>
      </c>
      <c r="L14" s="67" t="e">
        <f t="shared" si="815"/>
        <v>#NAME?</v>
      </c>
    </row>
    <row r="15" s="55" customFormat="1">
      <c r="A15" s="55">
        <f t="shared" si="811"/>
        <v>12</v>
      </c>
      <c r="B15" s="55">
        <v>0.54883288339069092</v>
      </c>
      <c r="C15" s="55">
        <f t="shared" si="812"/>
        <v>0.37318307203880102</v>
      </c>
    </row>
    <row r="16" s="55" customFormat="1">
      <c r="A16" s="55">
        <f t="shared" si="811"/>
        <v>13</v>
      </c>
      <c r="B16" s="55">
        <v>0.85693829196286697</v>
      </c>
      <c r="C16" s="55">
        <f t="shared" si="812"/>
        <v>0.63740513860659098</v>
      </c>
    </row>
    <row r="17">
      <c r="A17">
        <f t="shared" si="811"/>
        <v>14</v>
      </c>
      <c r="B17">
        <v>0.43225906999569402</v>
      </c>
      <c r="C17" s="55">
        <f t="shared" si="812"/>
        <v>8.9483753210546996e-02</v>
      </c>
      <c r="I17" s="55"/>
    </row>
    <row r="18">
      <c r="A18">
        <f t="shared" si="811"/>
        <v>15</v>
      </c>
      <c r="B18">
        <v>-6.4599939622106764e-02</v>
      </c>
      <c r="C18" s="55">
        <f t="shared" si="812"/>
        <v>-0.23750356762038499</v>
      </c>
      <c r="I18" s="55"/>
    </row>
    <row r="19">
      <c r="A19">
        <f t="shared" si="811"/>
        <v>16</v>
      </c>
      <c r="B19">
        <v>-0.20365610579624818</v>
      </c>
      <c r="C19" s="55">
        <f t="shared" si="812"/>
        <v>-0.177816129947405</v>
      </c>
    </row>
    <row r="20">
      <c r="A20">
        <f t="shared" si="811"/>
        <v>17</v>
      </c>
      <c r="B20">
        <v>-0.11232162753376858</v>
      </c>
      <c r="C20" s="55">
        <f t="shared" si="812"/>
        <v>-3.0859185215270001e-02</v>
      </c>
    </row>
    <row r="21">
      <c r="A21">
        <f t="shared" si="811"/>
        <v>18</v>
      </c>
      <c r="B21">
        <v>-0.12263390545953903</v>
      </c>
      <c r="C21" s="55">
        <f t="shared" si="812"/>
        <v>-7.7705254446031005e-02</v>
      </c>
    </row>
    <row r="22">
      <c r="A22">
        <f t="shared" si="811"/>
        <v>19</v>
      </c>
      <c r="B22">
        <v>0.49972306363037761</v>
      </c>
      <c r="C22" s="55">
        <f t="shared" si="812"/>
        <v>0.54877662581419395</v>
      </c>
    </row>
    <row r="23">
      <c r="A23">
        <f t="shared" si="811"/>
        <v>20</v>
      </c>
      <c r="B23">
        <v>-7.1075109664115246e-02</v>
      </c>
      <c r="C23" s="55">
        <f t="shared" si="812"/>
        <v>-0.270964335116266</v>
      </c>
    </row>
    <row r="24">
      <c r="A24">
        <f t="shared" si="811"/>
        <v>21</v>
      </c>
      <c r="B24">
        <v>0.9239136154717118</v>
      </c>
      <c r="C24" s="55">
        <f t="shared" si="812"/>
        <v>0.95234365933735798</v>
      </c>
    </row>
    <row r="25">
      <c r="A25">
        <f t="shared" si="811"/>
        <v>22</v>
      </c>
      <c r="B25">
        <v>0.15295754626692404</v>
      </c>
      <c r="C25" s="55">
        <f t="shared" si="812"/>
        <v>-0.21660789992176097</v>
      </c>
    </row>
    <row r="26">
      <c r="A26">
        <f t="shared" si="811"/>
        <v>23</v>
      </c>
      <c r="B26">
        <v>0.33328421180909706</v>
      </c>
      <c r="C26" s="55">
        <f t="shared" si="812"/>
        <v>0.27210119330232702</v>
      </c>
    </row>
    <row r="27">
      <c r="A27">
        <f t="shared" si="811"/>
        <v>24</v>
      </c>
      <c r="B27">
        <v>0.18774221804470159</v>
      </c>
      <c r="C27" s="55">
        <f t="shared" si="812"/>
        <v>5.4428533321063004e-02</v>
      </c>
    </row>
    <row r="28">
      <c r="A28">
        <f t="shared" si="811"/>
        <v>25</v>
      </c>
      <c r="B28">
        <v>0.22501409955220569</v>
      </c>
      <c r="C28" s="55">
        <f t="shared" si="812"/>
        <v>0.14991721233432501</v>
      </c>
    </row>
    <row r="29">
      <c r="A29">
        <f t="shared" si="811"/>
        <v>26</v>
      </c>
      <c r="B29">
        <v>0.10138721615401489</v>
      </c>
      <c r="C29" s="55">
        <f t="shared" si="812"/>
        <v>1.1381576333133e-02</v>
      </c>
    </row>
    <row r="30">
      <c r="A30">
        <f t="shared" si="811"/>
        <v>27</v>
      </c>
      <c r="B30">
        <v>0.16772638439529056</v>
      </c>
      <c r="C30" s="55">
        <f t="shared" si="812"/>
        <v>0.12717149793368501</v>
      </c>
    </row>
    <row r="31">
      <c r="A31">
        <f t="shared" si="811"/>
        <v>28</v>
      </c>
      <c r="B31">
        <v>-0.31651644142481467</v>
      </c>
      <c r="C31" s="55">
        <f t="shared" si="812"/>
        <v>-0.38360699518293101</v>
      </c>
    </row>
    <row r="32">
      <c r="A32">
        <f t="shared" si="811"/>
        <v>29</v>
      </c>
      <c r="B32">
        <v>-0.5906899743325249</v>
      </c>
      <c r="C32" s="55">
        <f t="shared" si="812"/>
        <v>-0.46408339776259899</v>
      </c>
    </row>
    <row r="33">
      <c r="A33">
        <f t="shared" si="811"/>
        <v>30</v>
      </c>
      <c r="B33">
        <v>0.3060210831404202</v>
      </c>
      <c r="C33" s="55">
        <f t="shared" si="812"/>
        <v>0.54229707287342999</v>
      </c>
    </row>
    <row r="34">
      <c r="A34">
        <f t="shared" si="811"/>
        <v>31</v>
      </c>
      <c r="B34">
        <v>-0.62752248082675643</v>
      </c>
      <c r="C34" s="55">
        <f t="shared" si="812"/>
        <v>-0.749930914082925</v>
      </c>
    </row>
    <row r="35">
      <c r="A35">
        <f t="shared" si="811"/>
        <v>32</v>
      </c>
      <c r="B35">
        <v>0.23702118556121193</v>
      </c>
      <c r="C35" s="55">
        <f t="shared" si="812"/>
        <v>0.488030177891915</v>
      </c>
    </row>
    <row r="36">
      <c r="A36">
        <f t="shared" si="811"/>
        <v>33</v>
      </c>
      <c r="B36">
        <v>-9.8704944770256611e-02</v>
      </c>
      <c r="C36" s="55">
        <f t="shared" si="812"/>
        <v>-0.193513418994742</v>
      </c>
    </row>
    <row r="37">
      <c r="A37">
        <f t="shared" si="811"/>
        <v>34</v>
      </c>
      <c r="B37">
        <v>0.33462467270222163</v>
      </c>
      <c r="C37" s="55">
        <f t="shared" si="812"/>
        <v>0.374106650610325</v>
      </c>
    </row>
    <row r="38">
      <c r="A38">
        <f t="shared" si="811"/>
        <v>35</v>
      </c>
      <c r="B38">
        <v>7.6903283588442367e-02</v>
      </c>
      <c r="C38" s="55">
        <f t="shared" si="812"/>
        <v>-5.6946585492447001e-02</v>
      </c>
    </row>
    <row r="39">
      <c r="A39">
        <f t="shared" si="811"/>
        <v>36</v>
      </c>
      <c r="B39">
        <v>-0.31754085082588029</v>
      </c>
      <c r="C39" s="55">
        <f t="shared" si="812"/>
        <v>-0.34830216426125699</v>
      </c>
    </row>
    <row r="40">
      <c r="A40">
        <f t="shared" si="811"/>
        <v>37</v>
      </c>
      <c r="B40">
        <v>-0.25419372210868718</v>
      </c>
      <c r="C40" s="55">
        <f t="shared" si="812"/>
        <v>-0.12717738177833501</v>
      </c>
    </row>
    <row r="41">
      <c r="A41">
        <f t="shared" si="811"/>
        <v>38</v>
      </c>
      <c r="B41">
        <v>0.62604102360566283</v>
      </c>
      <c r="C41" s="55">
        <f t="shared" si="812"/>
        <v>0.72771851244913799</v>
      </c>
    </row>
    <row r="42">
      <c r="A42">
        <f t="shared" si="811"/>
        <v>39</v>
      </c>
      <c r="B42">
        <v>0.65942009251344469</v>
      </c>
      <c r="C42" s="55">
        <f t="shared" si="812"/>
        <v>0.40900368307118001</v>
      </c>
    </row>
    <row r="43">
      <c r="A43">
        <f t="shared" si="811"/>
        <v>40</v>
      </c>
      <c r="B43">
        <v>3.9187187377916322e-02</v>
      </c>
      <c r="C43" s="55">
        <f t="shared" si="812"/>
        <v>-0.224580849627462</v>
      </c>
    </row>
    <row r="44">
      <c r="A44">
        <f t="shared" si="811"/>
        <v>41</v>
      </c>
      <c r="B44">
        <v>0.17389833870797153</v>
      </c>
      <c r="C44" s="55">
        <f t="shared" si="812"/>
        <v>0.15822346375680599</v>
      </c>
    </row>
    <row r="45">
      <c r="A45">
        <f t="shared" si="811"/>
        <v>42</v>
      </c>
      <c r="B45">
        <v>-0.11526190497676622</v>
      </c>
      <c r="C45" s="55">
        <f t="shared" si="812"/>
        <v>-0.18482124045995499</v>
      </c>
    </row>
    <row r="46">
      <c r="A46">
        <f t="shared" si="811"/>
        <v>43</v>
      </c>
      <c r="B46">
        <v>-0.30619159093863518</v>
      </c>
      <c r="C46" s="55">
        <f t="shared" si="812"/>
        <v>-0.26008682894792901</v>
      </c>
    </row>
    <row r="47">
      <c r="A47">
        <f t="shared" si="811"/>
        <v>44</v>
      </c>
      <c r="B47">
        <v>0.13241610578810847</v>
      </c>
      <c r="C47" s="55">
        <f t="shared" si="812"/>
        <v>0.254892742163562</v>
      </c>
    </row>
    <row r="48">
      <c r="A48">
        <f t="shared" si="811"/>
        <v>45</v>
      </c>
      <c r="B48">
        <v>-0.54694148767811068</v>
      </c>
      <c r="C48" s="55">
        <f t="shared" si="812"/>
        <v>-0.59990792999335396</v>
      </c>
    </row>
    <row r="49">
      <c r="A49">
        <f t="shared" si="811"/>
        <v>46</v>
      </c>
      <c r="B49">
        <v>7.5804716770691852e-02</v>
      </c>
      <c r="C49" s="55">
        <f t="shared" si="812"/>
        <v>0.29458131184193598</v>
      </c>
    </row>
    <row r="50">
      <c r="A50">
        <f t="shared" si="811"/>
        <v>47</v>
      </c>
      <c r="B50">
        <v>-1.3805346031133389e-02</v>
      </c>
      <c r="C50" s="55">
        <f t="shared" si="812"/>
        <v>-4.4127232739410001e-02</v>
      </c>
    </row>
    <row r="51">
      <c r="A51">
        <f t="shared" si="811"/>
        <v>48</v>
      </c>
      <c r="B51">
        <v>0.33052630065869121</v>
      </c>
      <c r="C51" s="55">
        <f t="shared" si="812"/>
        <v>0.33604843907114401</v>
      </c>
    </row>
    <row r="52">
      <c r="A52">
        <f t="shared" si="811"/>
        <v>49</v>
      </c>
      <c r="B52">
        <v>6.3089327347226012e-02</v>
      </c>
      <c r="C52" s="55">
        <f t="shared" si="812"/>
        <v>-6.9121192916250004e-02</v>
      </c>
    </row>
    <row r="53">
      <c r="A53">
        <f t="shared" si="811"/>
        <v>50</v>
      </c>
      <c r="B53">
        <v>-0.26048714702548137</v>
      </c>
      <c r="C53" s="55">
        <f t="shared" si="812"/>
        <v>-0.28572287796437101</v>
      </c>
    </row>
    <row r="54">
      <c r="A54">
        <f t="shared" si="811"/>
        <v>51</v>
      </c>
      <c r="B54">
        <v>0.64674810862294951</v>
      </c>
      <c r="C54" s="55">
        <f t="shared" si="812"/>
        <v>0.75094296743314204</v>
      </c>
    </row>
    <row r="55">
      <c r="A55">
        <f t="shared" si="811"/>
        <v>52</v>
      </c>
      <c r="B55">
        <v>0.70366243241228776</v>
      </c>
      <c r="C55" s="55">
        <f t="shared" si="812"/>
        <v>0.44496318896310799</v>
      </c>
    </row>
    <row r="56">
      <c r="A56">
        <f t="shared" si="811"/>
        <v>53</v>
      </c>
      <c r="B56">
        <v>4.8029876219132531e-02</v>
      </c>
      <c r="C56" s="55">
        <f t="shared" si="812"/>
        <v>-0.23343509674578203</v>
      </c>
    </row>
    <row r="57">
      <c r="A57">
        <f t="shared" si="811"/>
        <v>54</v>
      </c>
      <c r="B57">
        <v>0.51735363915428412</v>
      </c>
      <c r="C57" s="55">
        <f t="shared" si="812"/>
        <v>0.49814168866663094</v>
      </c>
    </row>
    <row r="58">
      <c r="A58">
        <f t="shared" si="811"/>
        <v>55</v>
      </c>
      <c r="B58">
        <v>0.16904804283569394</v>
      </c>
      <c r="C58" s="55">
        <f t="shared" si="812"/>
        <v>-3.7893412826019997e-02</v>
      </c>
    </row>
    <row r="59">
      <c r="A59">
        <f t="shared" si="811"/>
        <v>56</v>
      </c>
      <c r="B59">
        <v>0.87765490133672563</v>
      </c>
      <c r="C59" s="55">
        <f t="shared" si="812"/>
        <v>0.81003568420244798</v>
      </c>
    </row>
    <row r="60">
      <c r="A60">
        <f t="shared" si="811"/>
        <v>57</v>
      </c>
      <c r="B60">
        <v>0.13484802117187897</v>
      </c>
      <c r="C60" s="55">
        <f t="shared" si="812"/>
        <v>-0.216213939362811</v>
      </c>
    </row>
    <row r="61">
      <c r="A61">
        <f t="shared" si="811"/>
        <v>58</v>
      </c>
      <c r="B61">
        <v>0.27471421248229122</v>
      </c>
      <c r="C61" s="55">
        <f t="shared" si="812"/>
        <v>0.220775004013539</v>
      </c>
    </row>
    <row r="62">
      <c r="A62">
        <f t="shared" si="811"/>
        <v>59</v>
      </c>
      <c r="B62">
        <v>0.7504454867726611</v>
      </c>
      <c r="C62" s="55">
        <f t="shared" si="812"/>
        <v>0.64055980177974503</v>
      </c>
    </row>
    <row r="63">
      <c r="A63">
        <f t="shared" si="811"/>
        <v>60</v>
      </c>
      <c r="B63">
        <v>0.43224327377155569</v>
      </c>
      <c r="C63" s="55">
        <f t="shared" si="812"/>
        <v>0.13206507906249201</v>
      </c>
    </row>
    <row r="64">
      <c r="A64">
        <f t="shared" si="811"/>
        <v>61</v>
      </c>
      <c r="B64">
        <v>-3.9059421132505837e-02</v>
      </c>
      <c r="C64" s="55">
        <f t="shared" si="812"/>
        <v>-0.21195673064112799</v>
      </c>
    </row>
    <row r="65">
      <c r="A65">
        <f t="shared" si="811"/>
        <v>62</v>
      </c>
      <c r="B65">
        <v>-0.50717404197370719</v>
      </c>
      <c r="C65" s="55">
        <f t="shared" si="812"/>
        <v>-0.49155027352070502</v>
      </c>
    </row>
    <row r="66">
      <c r="A66">
        <f t="shared" si="811"/>
        <v>63</v>
      </c>
      <c r="B66">
        <v>0.51960944946831655</v>
      </c>
      <c r="C66" s="55">
        <f t="shared" si="812"/>
        <v>0.72247906625780001</v>
      </c>
    </row>
    <row r="67">
      <c r="A67">
        <f t="shared" si="811"/>
        <v>64</v>
      </c>
      <c r="B67">
        <v>-0.26181646538481168</v>
      </c>
      <c r="C67" s="55">
        <f t="shared" si="812"/>
        <v>-0.46966024517213895</v>
      </c>
    </row>
    <row r="68">
      <c r="A68">
        <f t="shared" si="811"/>
        <v>65</v>
      </c>
      <c r="B68">
        <v>-0.13816887905714118</v>
      </c>
      <c r="C68" s="55">
        <f t="shared" si="812"/>
        <v>-3.3442292903216e-02</v>
      </c>
    </row>
    <row r="69">
      <c r="A69">
        <f t="shared" si="811"/>
        <v>66</v>
      </c>
      <c r="B69">
        <v>-9.6577054658605055e-02</v>
      </c>
      <c r="C69" s="55">
        <f t="shared" si="812"/>
        <v>-4.1309503035748998e-02</v>
      </c>
    </row>
    <row r="70">
      <c r="A70">
        <f t="shared" si="811"/>
        <v>67</v>
      </c>
      <c r="B70">
        <v>5.7370588729134822e-02</v>
      </c>
      <c r="C70" s="55">
        <f t="shared" si="812"/>
        <v>9.6001410592576997e-02</v>
      </c>
    </row>
    <row r="71">
      <c r="A71">
        <f t="shared" si="811"/>
        <v>68</v>
      </c>
      <c r="B71">
        <v>-0.17149698873547628</v>
      </c>
      <c r="C71" s="55">
        <f t="shared" si="812"/>
        <v>-0.19444522422713001</v>
      </c>
    </row>
    <row r="72">
      <c r="A72">
        <f t="shared" si="811"/>
        <v>69</v>
      </c>
      <c r="B72">
        <v>-0.26611226014777861</v>
      </c>
      <c r="C72" s="55">
        <f t="shared" si="812"/>
        <v>-0.19751346465358899</v>
      </c>
    </row>
    <row r="73">
      <c r="A73">
        <f t="shared" si="811"/>
        <v>70</v>
      </c>
      <c r="B73">
        <v>0.18782245949059648</v>
      </c>
      <c r="C73" s="55">
        <f t="shared" si="812"/>
        <v>0.294267363549709</v>
      </c>
    </row>
    <row r="74">
      <c r="A74">
        <f t="shared" si="811"/>
        <v>71</v>
      </c>
      <c r="B74">
        <v>0.41543305078380388</v>
      </c>
      <c r="C74" s="55">
        <f t="shared" si="812"/>
        <v>0.34030406698756499</v>
      </c>
    </row>
    <row r="75">
      <c r="A75">
        <f t="shared" ref="A75:A100" si="816">A74+1</f>
        <v>72</v>
      </c>
      <c r="B75">
        <v>0.70353176573511111</v>
      </c>
      <c r="C75" s="55">
        <f t="shared" ref="C75:C99" si="817">B75-0.4*B74</f>
        <v>0.53735854542158901</v>
      </c>
    </row>
    <row r="76">
      <c r="A76">
        <f t="shared" si="816"/>
        <v>73</v>
      </c>
      <c r="B76">
        <v>-0.3952458411406039</v>
      </c>
      <c r="C76" s="55">
        <f t="shared" si="817"/>
        <v>-0.67665854743464804</v>
      </c>
    </row>
    <row r="77">
      <c r="A77">
        <f t="shared" si="816"/>
        <v>74</v>
      </c>
      <c r="B77">
        <v>-0.51964111108785283</v>
      </c>
      <c r="C77" s="55">
        <f t="shared" si="817"/>
        <v>-0.361542774631611</v>
      </c>
    </row>
    <row r="78">
      <c r="A78">
        <f t="shared" si="816"/>
        <v>75</v>
      </c>
      <c r="B78">
        <v>0.14942689895794989</v>
      </c>
      <c r="C78" s="55">
        <f t="shared" si="817"/>
        <v>0.35728334339309098</v>
      </c>
    </row>
    <row r="79">
      <c r="A79">
        <f t="shared" si="816"/>
        <v>76</v>
      </c>
      <c r="B79">
        <v>0.46561919595619383</v>
      </c>
      <c r="C79" s="55">
        <f t="shared" si="817"/>
        <v>0.40584843637301404</v>
      </c>
    </row>
    <row r="80">
      <c r="A80">
        <f t="shared" si="816"/>
        <v>77</v>
      </c>
      <c r="B80">
        <v>0.28518260718846278</v>
      </c>
      <c r="C80" s="55">
        <f t="shared" si="817"/>
        <v>9.8934928805985006e-02</v>
      </c>
    </row>
    <row r="81">
      <c r="A81">
        <f t="shared" si="816"/>
        <v>78</v>
      </c>
      <c r="B81">
        <v>-0.79657845002233552</v>
      </c>
      <c r="C81" s="55">
        <f t="shared" si="817"/>
        <v>-0.91065149289772085</v>
      </c>
    </row>
    <row r="82">
      <c r="A82">
        <f t="shared" si="816"/>
        <v>79</v>
      </c>
      <c r="B82">
        <v>0.2948278254332069</v>
      </c>
      <c r="C82" s="55">
        <f t="shared" si="817"/>
        <v>0.61345920544214105</v>
      </c>
    </row>
    <row r="83">
      <c r="A83">
        <f t="shared" si="816"/>
        <v>80</v>
      </c>
      <c r="B83">
        <v>-0.45924627456910311</v>
      </c>
      <c r="C83" s="55">
        <f t="shared" si="817"/>
        <v>-0.57717740474238599</v>
      </c>
    </row>
    <row r="84">
      <c r="A84">
        <f t="shared" si="816"/>
        <v>81</v>
      </c>
      <c r="B84">
        <v>-6.2314962980168337e-02</v>
      </c>
      <c r="C84" s="55">
        <f t="shared" si="817"/>
        <v>0.12138354684747302</v>
      </c>
    </row>
    <row r="85">
      <c r="A85">
        <f t="shared" si="816"/>
        <v>82</v>
      </c>
      <c r="B85">
        <v>-0.67254194699176528</v>
      </c>
      <c r="C85" s="55">
        <f t="shared" si="817"/>
        <v>-0.64761596179969805</v>
      </c>
    </row>
    <row r="86">
      <c r="A86">
        <f t="shared" si="816"/>
        <v>83</v>
      </c>
      <c r="B86">
        <v>-0.36329102577914368</v>
      </c>
      <c r="C86" s="55">
        <f t="shared" si="817"/>
        <v>-9.4274246982438012e-02</v>
      </c>
    </row>
    <row r="87">
      <c r="A87">
        <f t="shared" si="816"/>
        <v>84</v>
      </c>
      <c r="B87">
        <v>0.24488281260528305</v>
      </c>
      <c r="C87" s="55">
        <f t="shared" si="817"/>
        <v>0.39019922291694098</v>
      </c>
    </row>
    <row r="88">
      <c r="A88">
        <f t="shared" si="816"/>
        <v>85</v>
      </c>
      <c r="B88">
        <v>0.34561225352951408</v>
      </c>
      <c r="C88" s="55">
        <f t="shared" si="817"/>
        <v>0.24765912848740096</v>
      </c>
    </row>
    <row r="89">
      <c r="A89">
        <f t="shared" si="816"/>
        <v>86</v>
      </c>
      <c r="B89">
        <v>0.40011886698200072</v>
      </c>
      <c r="C89" s="55">
        <f t="shared" si="817"/>
        <v>0.26187396557019499</v>
      </c>
    </row>
    <row r="90">
      <c r="A90">
        <f t="shared" si="816"/>
        <v>87</v>
      </c>
      <c r="B90">
        <v>-0.10067849717756343</v>
      </c>
      <c r="C90" s="55">
        <f t="shared" si="817"/>
        <v>-0.26072604397036298</v>
      </c>
    </row>
    <row r="91">
      <c r="A91">
        <f t="shared" si="816"/>
        <v>88</v>
      </c>
      <c r="B91">
        <v>0.24606536316588329</v>
      </c>
      <c r="C91" s="55">
        <f t="shared" si="817"/>
        <v>0.286336762036908</v>
      </c>
    </row>
    <row r="92">
      <c r="A92">
        <f t="shared" si="816"/>
        <v>89</v>
      </c>
      <c r="B92">
        <v>0.12154161546185811</v>
      </c>
      <c r="C92" s="55">
        <f t="shared" si="817"/>
        <v>2.3115470195505e-02</v>
      </c>
    </row>
    <row r="93">
      <c r="A93">
        <f t="shared" si="816"/>
        <v>90</v>
      </c>
      <c r="B93">
        <v>-0.64956989756150918</v>
      </c>
      <c r="C93" s="55">
        <f t="shared" si="817"/>
        <v>-0.698186543746252</v>
      </c>
    </row>
    <row r="94">
      <c r="A94">
        <f t="shared" si="816"/>
        <v>91</v>
      </c>
      <c r="B94">
        <v>0.6011857555182194</v>
      </c>
      <c r="C94" s="55">
        <f t="shared" si="817"/>
        <v>0.86101371454282405</v>
      </c>
    </row>
    <row r="95">
      <c r="A95">
        <f t="shared" si="816"/>
        <v>92</v>
      </c>
      <c r="B95">
        <v>0.44718607623193696</v>
      </c>
      <c r="C95" s="55">
        <f t="shared" si="817"/>
        <v>0.20671177402464899</v>
      </c>
    </row>
    <row r="96">
      <c r="A96">
        <f t="shared" si="816"/>
        <v>93</v>
      </c>
      <c r="B96">
        <v>-7.9606486546142483e-02</v>
      </c>
      <c r="C96" s="55">
        <f t="shared" si="817"/>
        <v>-0.25848091703891701</v>
      </c>
    </row>
    <row r="97">
      <c r="A97">
        <f t="shared" si="816"/>
        <v>94</v>
      </c>
      <c r="B97">
        <v>0.14220353155740251</v>
      </c>
      <c r="C97" s="55">
        <f t="shared" si="817"/>
        <v>0.17404612617585999</v>
      </c>
    </row>
    <row r="98">
      <c r="A98">
        <f t="shared" si="816"/>
        <v>95</v>
      </c>
      <c r="B98">
        <v>0.77169994942716336</v>
      </c>
      <c r="C98" s="55">
        <f t="shared" si="817"/>
        <v>0.71481853680420204</v>
      </c>
    </row>
    <row r="99">
      <c r="A99">
        <f t="shared" si="816"/>
        <v>96</v>
      </c>
      <c r="B99">
        <v>-0.12293261993415876</v>
      </c>
      <c r="C99" s="55">
        <f t="shared" si="817"/>
        <v>-0.43161259970502402</v>
      </c>
    </row>
    <row r="100">
      <c r="A100">
        <f t="shared" si="816"/>
        <v>97</v>
      </c>
      <c r="B100">
        <v>0.46496436932208718</v>
      </c>
      <c r="C100" s="55">
        <f>B100-0.4*B99</f>
        <v>0.51413741729575102</v>
      </c>
    </row>
    <row r="101">
      <c r="A101">
        <f t="shared" ref="A101:A164" si="818">A100+1</f>
        <v>98</v>
      </c>
      <c r="B101">
        <v>0.31875260921576248</v>
      </c>
      <c r="C101" s="55">
        <f t="shared" ref="C101:C164" si="819">B101-0.4*B100</f>
        <v>0.13276686148692801</v>
      </c>
    </row>
    <row r="102">
      <c r="A102">
        <f t="shared" si="818"/>
        <v>99</v>
      </c>
      <c r="B102">
        <v>-0.48810125234772339</v>
      </c>
      <c r="C102" s="55">
        <f t="shared" si="819"/>
        <v>-0.61560229603402805</v>
      </c>
    </row>
    <row r="103">
      <c r="A103">
        <f t="shared" si="818"/>
        <v>100</v>
      </c>
      <c r="B103">
        <v>-0.25274879361122082</v>
      </c>
      <c r="C103" s="55">
        <f t="shared" si="819"/>
        <v>-5.7508292672132005e-02</v>
      </c>
    </row>
    <row r="104">
      <c r="A104">
        <f t="shared" si="818"/>
        <v>101</v>
      </c>
      <c r="B104">
        <v>0.54117532652533118</v>
      </c>
      <c r="C104" s="55">
        <f t="shared" si="819"/>
        <v>0.64227484396981904</v>
      </c>
    </row>
    <row r="105">
      <c r="A105">
        <f t="shared" si="818"/>
        <v>102</v>
      </c>
      <c r="B105">
        <v>0.41588929488972981</v>
      </c>
      <c r="C105" s="55">
        <f t="shared" si="819"/>
        <v>0.19941916427959799</v>
      </c>
    </row>
    <row r="106">
      <c r="A106">
        <f t="shared" si="818"/>
        <v>103</v>
      </c>
      <c r="B106">
        <v>0.16041617374482156</v>
      </c>
      <c r="C106" s="55">
        <f t="shared" si="819"/>
        <v>-5.9395442110700006e-03</v>
      </c>
    </row>
    <row r="107">
      <c r="A107">
        <f t="shared" si="818"/>
        <v>104</v>
      </c>
      <c r="B107">
        <v>-1.3475817579209379</v>
      </c>
      <c r="C107" s="55">
        <f t="shared" si="819"/>
        <v>-1.41174822741887</v>
      </c>
    </row>
    <row r="108">
      <c r="A108">
        <f t="shared" si="818"/>
        <v>105</v>
      </c>
      <c r="B108">
        <v>0.27028380803135105</v>
      </c>
      <c r="C108" s="55">
        <f t="shared" si="819"/>
        <v>0.80931651119972714</v>
      </c>
    </row>
    <row r="109">
      <c r="A109">
        <f t="shared" si="818"/>
        <v>106</v>
      </c>
      <c r="B109">
        <v>-0.36664722071372097</v>
      </c>
      <c r="C109" s="55">
        <f t="shared" si="819"/>
        <v>-0.474760743926261</v>
      </c>
    </row>
    <row r="110">
      <c r="A110">
        <f t="shared" si="818"/>
        <v>107</v>
      </c>
      <c r="B110">
        <v>0.3629695180051602</v>
      </c>
      <c r="C110" s="55">
        <f t="shared" si="819"/>
        <v>0.50962840629064798</v>
      </c>
    </row>
    <row r="111">
      <c r="A111">
        <f t="shared" si="818"/>
        <v>108</v>
      </c>
      <c r="B111">
        <v>3.405456366832614e-02</v>
      </c>
      <c r="C111" s="55">
        <f t="shared" si="819"/>
        <v>-0.11113324353373802</v>
      </c>
    </row>
    <row r="112">
      <c r="A112">
        <f t="shared" si="818"/>
        <v>109</v>
      </c>
      <c r="B112">
        <v>0.22472251974334051</v>
      </c>
      <c r="C112" s="55">
        <f t="shared" si="819"/>
        <v>0.21110069427601</v>
      </c>
    </row>
    <row r="113">
      <c r="A113">
        <f t="shared" si="818"/>
        <v>110</v>
      </c>
      <c r="B113">
        <v>0.23835817196030887</v>
      </c>
      <c r="C113" s="55">
        <f t="shared" si="819"/>
        <v>0.148469164062973</v>
      </c>
    </row>
    <row r="114">
      <c r="A114">
        <f t="shared" si="818"/>
        <v>111</v>
      </c>
      <c r="B114">
        <v>2.9018813129743858e-03</v>
      </c>
      <c r="C114" s="55">
        <f t="shared" si="819"/>
        <v>-9.2441387471149994e-02</v>
      </c>
    </row>
    <row r="115">
      <c r="A115">
        <f t="shared" si="818"/>
        <v>112</v>
      </c>
      <c r="B115">
        <v>-7.0164403849902066e-02</v>
      </c>
      <c r="C115" s="55">
        <f t="shared" si="819"/>
        <v>-7.1325156375092014e-02</v>
      </c>
    </row>
    <row r="116">
      <c r="A116">
        <f t="shared" si="818"/>
        <v>113</v>
      </c>
      <c r="B116">
        <v>-0.21069309060190561</v>
      </c>
      <c r="C116" s="55">
        <f t="shared" si="819"/>
        <v>-0.18262732906194501</v>
      </c>
    </row>
    <row r="117">
      <c r="A117">
        <f t="shared" si="818"/>
        <v>114</v>
      </c>
      <c r="B117">
        <v>-0.47693066897558534</v>
      </c>
      <c r="C117" s="55">
        <f t="shared" si="819"/>
        <v>-0.392653432734823</v>
      </c>
    </row>
    <row r="118">
      <c r="A118">
        <f t="shared" si="818"/>
        <v>115</v>
      </c>
      <c r="B118">
        <v>-1.0820146542971811e-02</v>
      </c>
      <c r="C118" s="55">
        <f t="shared" si="819"/>
        <v>0.17995212104726199</v>
      </c>
    </row>
    <row r="119">
      <c r="A119">
        <f t="shared" si="818"/>
        <v>116</v>
      </c>
      <c r="B119">
        <v>-0.53806306600499088</v>
      </c>
      <c r="C119" s="55">
        <f t="shared" si="819"/>
        <v>-0.533735007387802</v>
      </c>
    </row>
    <row r="120">
      <c r="A120">
        <f t="shared" si="818"/>
        <v>117</v>
      </c>
      <c r="B120">
        <v>-0.37680201240903038</v>
      </c>
      <c r="C120" s="55">
        <f t="shared" si="819"/>
        <v>-0.16157678600703401</v>
      </c>
    </row>
    <row r="121">
      <c r="A121">
        <f t="shared" si="818"/>
        <v>118</v>
      </c>
      <c r="B121">
        <v>6.0518363345847613e-02</v>
      </c>
      <c r="C121" s="55">
        <f t="shared" si="819"/>
        <v>0.21123916830946002</v>
      </c>
    </row>
    <row r="122">
      <c r="A122">
        <f t="shared" si="818"/>
        <v>119</v>
      </c>
      <c r="B122">
        <v>0.908568246574603</v>
      </c>
      <c r="C122" s="55">
        <f t="shared" si="819"/>
        <v>0.88436090123626399</v>
      </c>
    </row>
    <row r="123">
      <c r="A123">
        <f t="shared" si="818"/>
        <v>120</v>
      </c>
      <c r="B123">
        <v>-0.36496444622151897</v>
      </c>
      <c r="C123" s="55">
        <f t="shared" si="819"/>
        <v>-0.72839174485136005</v>
      </c>
    </row>
    <row r="124">
      <c r="A124">
        <f t="shared" si="818"/>
        <v>121</v>
      </c>
      <c r="B124">
        <v>-0.46851595528866935</v>
      </c>
      <c r="C124" s="55">
        <f t="shared" si="819"/>
        <v>-0.32253017680006102</v>
      </c>
    </row>
    <row r="125">
      <c r="A125">
        <f t="shared" si="818"/>
        <v>122</v>
      </c>
      <c r="B125">
        <v>1.0250626756055023</v>
      </c>
      <c r="C125" s="55">
        <f t="shared" si="819"/>
        <v>1.21246905772097</v>
      </c>
    </row>
    <row r="126">
      <c r="A126">
        <f t="shared" si="818"/>
        <v>123</v>
      </c>
      <c r="B126">
        <v>-0.12821570689953868</v>
      </c>
      <c r="C126" s="55">
        <f t="shared" si="819"/>
        <v>-0.53824077714173901</v>
      </c>
    </row>
    <row r="127">
      <c r="A127">
        <f t="shared" si="818"/>
        <v>124</v>
      </c>
      <c r="B127">
        <v>0.1484634817449306</v>
      </c>
      <c r="C127" s="55">
        <f t="shared" si="819"/>
        <v>0.19974976450474699</v>
      </c>
    </row>
    <row r="128">
      <c r="A128">
        <f t="shared" si="818"/>
        <v>125</v>
      </c>
      <c r="B128">
        <v>0.79443782802329266</v>
      </c>
      <c r="C128" s="55">
        <f t="shared" si="819"/>
        <v>0.73505243532532105</v>
      </c>
    </row>
    <row r="129">
      <c r="A129">
        <f t="shared" si="818"/>
        <v>126</v>
      </c>
      <c r="B129">
        <v>-0.38803213955391319</v>
      </c>
      <c r="C129" s="55">
        <f t="shared" si="819"/>
        <v>-0.70580727076323002</v>
      </c>
    </row>
    <row r="130">
      <c r="A130">
        <f t="shared" si="818"/>
        <v>127</v>
      </c>
      <c r="B130">
        <v>-1.3998932143015734</v>
      </c>
      <c r="C130" s="55">
        <f t="shared" si="819"/>
        <v>-1.2446803584800099</v>
      </c>
    </row>
    <row r="131">
      <c r="A131">
        <f t="shared" si="818"/>
        <v>128</v>
      </c>
      <c r="B131">
        <v>-0.20867478752123328</v>
      </c>
      <c r="C131" s="55">
        <f t="shared" si="819"/>
        <v>0.351282498199395</v>
      </c>
    </row>
    <row r="132">
      <c r="A132">
        <f t="shared" si="818"/>
        <v>129</v>
      </c>
      <c r="B132">
        <v>-5.1587365971343523e-02</v>
      </c>
      <c r="C132" s="55">
        <f t="shared" si="819"/>
        <v>3.1882549037149002e-02</v>
      </c>
    </row>
    <row r="133">
      <c r="A133">
        <f t="shared" si="818"/>
        <v>130</v>
      </c>
      <c r="B133">
        <v>-2.8380451480331949e-02</v>
      </c>
      <c r="C133" s="55">
        <f t="shared" si="819"/>
        <v>-7.7455050917940001e-03</v>
      </c>
    </row>
    <row r="134">
      <c r="A134">
        <f t="shared" si="818"/>
        <v>131</v>
      </c>
      <c r="B134">
        <v>-5.0483662879211126e-02</v>
      </c>
      <c r="C134" s="55">
        <f t="shared" si="819"/>
        <v>-3.9131482287077995e-02</v>
      </c>
    </row>
    <row r="135">
      <c r="A135">
        <f t="shared" si="818"/>
        <v>132</v>
      </c>
      <c r="B135">
        <v>0.40466650426540046</v>
      </c>
      <c r="C135" s="55">
        <f t="shared" si="819"/>
        <v>0.42485996941708504</v>
      </c>
    </row>
    <row r="136">
      <c r="A136">
        <f t="shared" si="818"/>
        <v>133</v>
      </c>
      <c r="B136">
        <v>0.52315476793853832</v>
      </c>
      <c r="C136" s="55">
        <f t="shared" si="819"/>
        <v>0.36128816623237803</v>
      </c>
    </row>
    <row r="137">
      <c r="A137">
        <f t="shared" si="818"/>
        <v>134</v>
      </c>
      <c r="B137">
        <v>0.46996811860365117</v>
      </c>
      <c r="C137" s="55">
        <f t="shared" si="819"/>
        <v>0.26070621142823602</v>
      </c>
    </row>
    <row r="138">
      <c r="A138">
        <f t="shared" si="818"/>
        <v>135</v>
      </c>
      <c r="B138">
        <v>-0.39598910612523192</v>
      </c>
      <c r="C138" s="55">
        <f t="shared" si="819"/>
        <v>-0.58397635356669197</v>
      </c>
    </row>
    <row r="139">
      <c r="A139">
        <f t="shared" si="818"/>
        <v>136</v>
      </c>
      <c r="B139">
        <v>-0.1750562864439289</v>
      </c>
      <c r="C139" s="55">
        <f t="shared" si="819"/>
        <v>-1.6660643993835999e-02</v>
      </c>
    </row>
    <row r="140">
      <c r="A140">
        <f t="shared" si="818"/>
        <v>137</v>
      </c>
      <c r="B140">
        <v>-0.14587797149207962</v>
      </c>
      <c r="C140" s="55">
        <f t="shared" si="819"/>
        <v>-7.5855456914507999e-02</v>
      </c>
    </row>
    <row r="141">
      <c r="A141">
        <f t="shared" si="818"/>
        <v>138</v>
      </c>
      <c r="B141">
        <v>7.4800791128076916e-02</v>
      </c>
      <c r="C141" s="55">
        <f t="shared" si="819"/>
        <v>0.133151979724909</v>
      </c>
    </row>
    <row r="142">
      <c r="A142">
        <f t="shared" si="818"/>
        <v>139</v>
      </c>
      <c r="B142">
        <v>-4.2638486055452611e-02</v>
      </c>
      <c r="C142" s="55">
        <f t="shared" si="819"/>
        <v>-7.2558802506684006e-02</v>
      </c>
    </row>
    <row r="143">
      <c r="A143">
        <f t="shared" si="818"/>
        <v>140</v>
      </c>
      <c r="B143">
        <v>-0.7181893143128113</v>
      </c>
      <c r="C143" s="55">
        <f t="shared" si="819"/>
        <v>-0.70113391989063001</v>
      </c>
    </row>
    <row r="144">
      <c r="A144">
        <f t="shared" si="818"/>
        <v>141</v>
      </c>
      <c r="B144">
        <v>0.24957308195370337</v>
      </c>
      <c r="C144" s="55">
        <f t="shared" si="819"/>
        <v>0.53684880767882703</v>
      </c>
    </row>
    <row r="145">
      <c r="A145">
        <f t="shared" si="818"/>
        <v>142</v>
      </c>
      <c r="B145">
        <v>-0.91751252484688306</v>
      </c>
      <c r="C145" s="55">
        <f t="shared" si="819"/>
        <v>-1.0173417576283601</v>
      </c>
    </row>
    <row r="146">
      <c r="A146">
        <f t="shared" si="818"/>
        <v>143</v>
      </c>
      <c r="B146">
        <v>2.5075431761081166e-02</v>
      </c>
      <c r="C146" s="55">
        <f t="shared" si="819"/>
        <v>0.39208044169983403</v>
      </c>
    </row>
    <row r="147">
      <c r="A147">
        <f t="shared" si="818"/>
        <v>144</v>
      </c>
      <c r="B147">
        <v>0.25095282799290247</v>
      </c>
      <c r="C147" s="55">
        <f t="shared" si="819"/>
        <v>0.24092265528847098</v>
      </c>
    </row>
    <row r="148">
      <c r="A148">
        <f t="shared" si="818"/>
        <v>145</v>
      </c>
      <c r="B148">
        <v>-0.13079037606187624</v>
      </c>
      <c r="C148" s="55">
        <f t="shared" si="819"/>
        <v>-0.23117150725903701</v>
      </c>
    </row>
    <row r="149">
      <c r="A149">
        <f t="shared" si="818"/>
        <v>146</v>
      </c>
      <c r="B149">
        <v>3.9347252655179736e-02</v>
      </c>
      <c r="C149" s="55">
        <f t="shared" si="819"/>
        <v>9.1663403079929998e-02</v>
      </c>
    </row>
    <row r="150">
      <c r="A150">
        <f t="shared" si="818"/>
        <v>147</v>
      </c>
      <c r="B150">
        <v>-0.24956702482861565</v>
      </c>
      <c r="C150" s="55">
        <f t="shared" si="819"/>
        <v>-0.26530592589068802</v>
      </c>
    </row>
    <row r="151">
      <c r="A151">
        <f t="shared" si="818"/>
        <v>148</v>
      </c>
      <c r="B151">
        <v>-4.3466069434543737e-02</v>
      </c>
      <c r="C151" s="55">
        <f t="shared" si="819"/>
        <v>5.6360740496901991e-02</v>
      </c>
    </row>
    <row r="152">
      <c r="A152">
        <f t="shared" si="818"/>
        <v>149</v>
      </c>
      <c r="B152">
        <v>-9.4167699304106622e-02</v>
      </c>
      <c r="C152" s="55">
        <f t="shared" si="819"/>
        <v>-7.6781271530289005e-02</v>
      </c>
    </row>
    <row r="153">
      <c r="A153">
        <f t="shared" si="818"/>
        <v>150</v>
      </c>
      <c r="B153">
        <v>1.0789945199254356</v>
      </c>
      <c r="C153" s="55">
        <f t="shared" si="819"/>
        <v>1.1166615996470799</v>
      </c>
    </row>
    <row r="154">
      <c r="A154">
        <f t="shared" si="818"/>
        <v>151</v>
      </c>
      <c r="B154">
        <v>0.19457012465328444</v>
      </c>
      <c r="C154" s="55">
        <f t="shared" si="819"/>
        <v>-0.237027683316892</v>
      </c>
    </row>
    <row r="155">
      <c r="A155">
        <f t="shared" si="818"/>
        <v>152</v>
      </c>
      <c r="B155">
        <v>-0.93304167847339625</v>
      </c>
      <c r="C155" s="55">
        <f t="shared" si="819"/>
        <v>-1.0108697283347099</v>
      </c>
    </row>
    <row r="156">
      <c r="A156">
        <f t="shared" si="818"/>
        <v>153</v>
      </c>
      <c r="B156">
        <v>-0.16706237349180128</v>
      </c>
      <c r="C156" s="55">
        <f t="shared" si="819"/>
        <v>0.20615429789755799</v>
      </c>
    </row>
    <row r="157">
      <c r="A157">
        <f t="shared" si="818"/>
        <v>154</v>
      </c>
      <c r="B157">
        <v>0.25997599923618075</v>
      </c>
      <c r="C157" s="55">
        <f t="shared" si="819"/>
        <v>0.32680094863290099</v>
      </c>
    </row>
    <row r="158">
      <c r="A158">
        <f t="shared" si="818"/>
        <v>155</v>
      </c>
      <c r="B158">
        <v>-0.66600962106369432</v>
      </c>
      <c r="C158" s="55">
        <f t="shared" si="819"/>
        <v>-0.77000002075816598</v>
      </c>
    </row>
    <row r="159">
      <c r="A159">
        <f t="shared" si="818"/>
        <v>156</v>
      </c>
      <c r="B159">
        <v>0.11797693608631241</v>
      </c>
      <c r="C159" s="55">
        <f t="shared" si="819"/>
        <v>0.38438078451178997</v>
      </c>
    </row>
    <row r="160">
      <c r="A160">
        <f t="shared" si="818"/>
        <v>157</v>
      </c>
      <c r="B160">
        <v>-0.38200653711381494</v>
      </c>
      <c r="C160" s="55">
        <f t="shared" si="819"/>
        <v>-0.42919731154834001</v>
      </c>
    </row>
    <row r="161">
      <c r="A161">
        <f t="shared" si="818"/>
        <v>158</v>
      </c>
      <c r="B161">
        <v>0.65451858323512324</v>
      </c>
      <c r="C161" s="55">
        <f t="shared" si="819"/>
        <v>0.80732119808064895</v>
      </c>
    </row>
    <row r="162">
      <c r="A162">
        <f t="shared" si="818"/>
        <v>159</v>
      </c>
      <c r="B162">
        <v>0.31230951248154232</v>
      </c>
      <c r="C162" s="55">
        <f t="shared" si="819"/>
        <v>5.0502079187492999e-02</v>
      </c>
    </row>
    <row r="163">
      <c r="A163">
        <f t="shared" si="818"/>
        <v>160</v>
      </c>
      <c r="B163">
        <v>-0.11414619211828736</v>
      </c>
      <c r="C163" s="55">
        <f t="shared" si="819"/>
        <v>-0.23906999711090399</v>
      </c>
    </row>
    <row r="164">
      <c r="A164">
        <f t="shared" si="818"/>
        <v>161</v>
      </c>
      <c r="B164">
        <v>-0.45830678053502522</v>
      </c>
      <c r="C164" s="55">
        <f t="shared" si="819"/>
        <v>-0.41264830368770999</v>
      </c>
    </row>
    <row r="165">
      <c r="A165">
        <f t="shared" ref="A165:A203" si="820">A164+1</f>
        <v>162</v>
      </c>
      <c r="B165">
        <v>6.3411234207975328e-02</v>
      </c>
      <c r="C165" s="55">
        <f t="shared" ref="C165:C203" si="821">B165-0.4*B164</f>
        <v>0.24673394642198501</v>
      </c>
    </row>
    <row r="166">
      <c r="A166">
        <f t="shared" si="820"/>
        <v>163</v>
      </c>
      <c r="B166">
        <v>0.50173549649751492</v>
      </c>
      <c r="C166" s="55">
        <f t="shared" si="821"/>
        <v>0.47637100281432498</v>
      </c>
    </row>
    <row r="167">
      <c r="A167">
        <f t="shared" si="820"/>
        <v>164</v>
      </c>
      <c r="B167">
        <v>-4.7878140516434742e-02</v>
      </c>
      <c r="C167" s="55">
        <f t="shared" si="821"/>
        <v>-0.24857233911544099</v>
      </c>
    </row>
    <row r="168">
      <c r="A168">
        <f t="shared" si="820"/>
        <v>165</v>
      </c>
      <c r="B168">
        <v>0.14014491224633679</v>
      </c>
      <c r="C168" s="55">
        <f t="shared" si="821"/>
        <v>0.159296168452911</v>
      </c>
    </row>
    <row r="169">
      <c r="A169">
        <f t="shared" si="820"/>
        <v>166</v>
      </c>
      <c r="B169">
        <v>-0.22094875069833905</v>
      </c>
      <c r="C169" s="55">
        <f t="shared" si="821"/>
        <v>-0.27700671559687401</v>
      </c>
    </row>
    <row r="170">
      <c r="A170">
        <f t="shared" si="820"/>
        <v>167</v>
      </c>
      <c r="B170">
        <v>0.60190831699301117</v>
      </c>
      <c r="C170" s="55">
        <f t="shared" si="821"/>
        <v>0.690287817272347</v>
      </c>
    </row>
    <row r="171">
      <c r="A171">
        <f t="shared" si="820"/>
        <v>168</v>
      </c>
      <c r="B171">
        <v>0.57112113782875606</v>
      </c>
      <c r="C171" s="55">
        <f t="shared" si="821"/>
        <v>0.33035781103155198</v>
      </c>
    </row>
    <row r="172">
      <c r="A172">
        <f t="shared" si="820"/>
        <v>169</v>
      </c>
      <c r="B172">
        <v>0.42935318255318633</v>
      </c>
      <c r="C172" s="55">
        <f t="shared" si="821"/>
        <v>0.20090472742168403</v>
      </c>
    </row>
    <row r="173">
      <c r="A173">
        <f t="shared" si="820"/>
        <v>170</v>
      </c>
      <c r="B173">
        <v>3.2284282684139576e-02</v>
      </c>
      <c r="C173" s="55">
        <f t="shared" si="821"/>
        <v>-0.13945699033713399</v>
      </c>
    </row>
    <row r="174">
      <c r="A174">
        <f t="shared" si="820"/>
        <v>171</v>
      </c>
      <c r="B174">
        <v>0.13032847091512376</v>
      </c>
      <c r="C174" s="55">
        <f t="shared" si="821"/>
        <v>0.117414757841468</v>
      </c>
    </row>
    <row r="175">
      <c r="A175">
        <f t="shared" si="820"/>
        <v>172</v>
      </c>
      <c r="B175">
        <v>0.55577904583932602</v>
      </c>
      <c r="C175" s="55">
        <f t="shared" si="821"/>
        <v>0.503647657473276</v>
      </c>
    </row>
    <row r="176">
      <c r="A176">
        <f t="shared" si="820"/>
        <v>173</v>
      </c>
      <c r="B176">
        <v>-0.25846732041896892</v>
      </c>
      <c r="C176" s="55">
        <f t="shared" si="821"/>
        <v>-0.48077893875469896</v>
      </c>
    </row>
    <row r="177">
      <c r="A177">
        <f t="shared" si="820"/>
        <v>174</v>
      </c>
      <c r="B177">
        <v>0.27306064744471714</v>
      </c>
      <c r="C177" s="55">
        <f t="shared" si="821"/>
        <v>0.37644757561230502</v>
      </c>
    </row>
    <row r="178">
      <c r="A178">
        <f t="shared" si="820"/>
        <v>175</v>
      </c>
      <c r="B178">
        <v>-0.80712998639146638</v>
      </c>
      <c r="C178" s="55">
        <f t="shared" si="821"/>
        <v>-0.91635424536935306</v>
      </c>
    </row>
    <row r="179">
      <c r="A179">
        <f t="shared" si="820"/>
        <v>176</v>
      </c>
      <c r="B179">
        <v>-9.080471442227743e-02</v>
      </c>
      <c r="C179" s="55">
        <f t="shared" si="821"/>
        <v>0.23204728013430903</v>
      </c>
    </row>
    <row r="180">
      <c r="A180">
        <f t="shared" si="820"/>
        <v>177</v>
      </c>
      <c r="B180">
        <v>0.78479208772105424</v>
      </c>
      <c r="C180" s="55">
        <f t="shared" si="821"/>
        <v>0.82111397348996495</v>
      </c>
    </row>
    <row r="181">
      <c r="A181">
        <f t="shared" si="820"/>
        <v>178</v>
      </c>
      <c r="B181">
        <v>-0.13451947923937232</v>
      </c>
      <c r="C181" s="55">
        <f t="shared" si="821"/>
        <v>-0.44843631432779396</v>
      </c>
    </row>
    <row r="182">
      <c r="A182">
        <f t="shared" si="820"/>
        <v>179</v>
      </c>
      <c r="B182">
        <v>0.12925003906509253</v>
      </c>
      <c r="C182" s="55">
        <f t="shared" si="821"/>
        <v>0.18305783076084201</v>
      </c>
    </row>
    <row r="183">
      <c r="A183">
        <f t="shared" si="820"/>
        <v>180</v>
      </c>
      <c r="B183">
        <v>-0.39138319355115314</v>
      </c>
      <c r="C183" s="55">
        <f t="shared" si="821"/>
        <v>-0.44308320917719002</v>
      </c>
    </row>
    <row r="184">
      <c r="A184">
        <f t="shared" si="820"/>
        <v>181</v>
      </c>
      <c r="B184">
        <v>0.99268646809453442</v>
      </c>
      <c r="C184" s="55">
        <f t="shared" si="821"/>
        <v>1.1492397455150001</v>
      </c>
    </row>
    <row r="185">
      <c r="A185">
        <f t="shared" si="820"/>
        <v>182</v>
      </c>
      <c r="B185">
        <v>1.1045485291507553</v>
      </c>
      <c r="C185" s="55">
        <f t="shared" si="821"/>
        <v>0.70747394191294599</v>
      </c>
    </row>
    <row r="186">
      <c r="A186">
        <f t="shared" si="820"/>
        <v>183</v>
      </c>
      <c r="B186">
        <v>-0.34636077127091497</v>
      </c>
      <c r="C186" s="55">
        <f t="shared" si="821"/>
        <v>-0.78818018293121905</v>
      </c>
    </row>
    <row r="187">
      <c r="A187">
        <f t="shared" si="820"/>
        <v>184</v>
      </c>
      <c r="B187">
        <v>-4.285385940483985e-02</v>
      </c>
      <c r="C187" s="55">
        <f t="shared" si="821"/>
        <v>9.5690449103526004e-02</v>
      </c>
    </row>
    <row r="188">
      <c r="A188">
        <f t="shared" si="820"/>
        <v>185</v>
      </c>
      <c r="B188">
        <v>0.82486687850577023</v>
      </c>
      <c r="C188" s="55">
        <f t="shared" si="821"/>
        <v>0.842008422267706</v>
      </c>
    </row>
    <row r="189">
      <c r="A189">
        <f t="shared" si="820"/>
        <v>186</v>
      </c>
      <c r="B189">
        <v>0.26146176427923484</v>
      </c>
      <c r="C189" s="55">
        <f t="shared" si="821"/>
        <v>-6.8484987123072993e-02</v>
      </c>
    </row>
    <row r="190">
      <c r="A190">
        <f t="shared" si="820"/>
        <v>187</v>
      </c>
      <c r="B190">
        <v>-0.35460608851308534</v>
      </c>
      <c r="C190" s="55">
        <f t="shared" si="821"/>
        <v>-0.45919079422477899</v>
      </c>
    </row>
    <row r="191">
      <c r="A191">
        <f t="shared" si="820"/>
        <v>188</v>
      </c>
      <c r="B191">
        <v>-0.26876158315295717</v>
      </c>
      <c r="C191" s="55">
        <f t="shared" si="821"/>
        <v>-0.126919147747723</v>
      </c>
    </row>
    <row r="192">
      <c r="A192">
        <f t="shared" si="820"/>
        <v>189</v>
      </c>
      <c r="B192">
        <v>0.25166944374552108</v>
      </c>
      <c r="C192" s="55">
        <f t="shared" si="821"/>
        <v>0.35917407700670401</v>
      </c>
    </row>
    <row r="193">
      <c r="A193">
        <f t="shared" si="820"/>
        <v>190</v>
      </c>
      <c r="B193">
        <v>0.43286071337948046</v>
      </c>
      <c r="C193" s="55">
        <f t="shared" si="821"/>
        <v>0.33219293588127302</v>
      </c>
    </row>
    <row r="194">
      <c r="A194">
        <f t="shared" si="820"/>
        <v>191</v>
      </c>
      <c r="B194">
        <v>0.45413848023264791</v>
      </c>
      <c r="C194" s="55">
        <f t="shared" si="821"/>
        <v>0.28099419488085597</v>
      </c>
    </row>
    <row r="195">
      <c r="A195">
        <f t="shared" si="820"/>
        <v>192</v>
      </c>
      <c r="B195">
        <v>-1.3324825042722805e-02</v>
      </c>
      <c r="C195" s="55">
        <f t="shared" si="821"/>
        <v>-0.19498021713578201</v>
      </c>
    </row>
    <row r="196">
      <c r="A196">
        <f t="shared" si="820"/>
        <v>193</v>
      </c>
      <c r="B196">
        <v>-0.24539323159004911</v>
      </c>
      <c r="C196" s="55">
        <f t="shared" si="821"/>
        <v>-0.24006330157295999</v>
      </c>
    </row>
    <row r="197">
      <c r="A197">
        <f t="shared" si="820"/>
        <v>194</v>
      </c>
      <c r="B197">
        <v>3.6119098172010637e-02</v>
      </c>
      <c r="C197" s="55">
        <f t="shared" si="821"/>
        <v>0.134276390808031</v>
      </c>
    </row>
    <row r="198">
      <c r="A198">
        <f t="shared" si="820"/>
        <v>195</v>
      </c>
      <c r="B198">
        <v>0.30217869836325728</v>
      </c>
      <c r="C198" s="55">
        <f t="shared" si="821"/>
        <v>0.28773105909445301</v>
      </c>
    </row>
    <row r="199">
      <c r="A199">
        <f t="shared" si="820"/>
        <v>196</v>
      </c>
      <c r="B199">
        <v>0.23649227964160363</v>
      </c>
      <c r="C199" s="55">
        <f t="shared" si="821"/>
        <v>0.11562080029630099</v>
      </c>
    </row>
    <row r="200">
      <c r="A200">
        <f t="shared" si="820"/>
        <v>197</v>
      </c>
      <c r="B200">
        <v>-0.70478339276739954</v>
      </c>
      <c r="C200" s="55">
        <f t="shared" si="821"/>
        <v>-0.79938030462404197</v>
      </c>
    </row>
    <row r="201">
      <c r="A201">
        <f t="shared" si="820"/>
        <v>198</v>
      </c>
      <c r="B201">
        <v>-0.30303035315709964</v>
      </c>
      <c r="C201" s="55">
        <f t="shared" si="821"/>
        <v>-2.1116996050139999e-02</v>
      </c>
    </row>
    <row r="202">
      <c r="A202">
        <f t="shared" si="820"/>
        <v>199</v>
      </c>
      <c r="B202">
        <v>4.980264955195015e-02</v>
      </c>
      <c r="C202" s="55">
        <f t="shared" si="821"/>
        <v>0.17101479081479001</v>
      </c>
    </row>
    <row r="203">
      <c r="A203">
        <f t="shared" si="820"/>
        <v>200</v>
      </c>
      <c r="B203" s="14">
        <v>-1.0568000762886942</v>
      </c>
      <c r="C203" s="67">
        <f t="shared" si="821"/>
        <v>-1.07672113610947</v>
      </c>
    </row>
    <row r="205">
      <c r="B205" s="20" t="s">
        <v>561</v>
      </c>
    </row>
    <row r="206">
      <c r="B206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7232139999999996"/>
    <col customWidth="1" min="5" max="5" style="15" width="4"/>
    <col customWidth="1" min="6" max="6" width="7.8125"/>
    <col customWidth="1" min="8" max="8" width="2.2678569999999998"/>
    <col customWidth="1" min="9" max="9" width="24.267856999999999"/>
    <col customWidth="1" min="10" max="10" width="4.8125"/>
  </cols>
  <sheetData>
    <row r="1">
      <c r="A1" s="1" t="s">
        <v>562</v>
      </c>
    </row>
    <row r="2">
      <c r="A2" s="1"/>
    </row>
    <row r="3" s="55" customFormat="1" ht="15" customHeight="1">
      <c r="B3" s="58" t="s">
        <v>342</v>
      </c>
      <c r="C3" s="58" t="s">
        <v>343</v>
      </c>
      <c r="D3" s="58" t="s">
        <v>342</v>
      </c>
      <c r="E3" s="57"/>
      <c r="F3" s="57" t="s">
        <v>555</v>
      </c>
      <c r="G3" s="69">
        <v>-0.35646745722114215</v>
      </c>
      <c r="K3" s="58" t="s">
        <v>291</v>
      </c>
      <c r="L3" s="58" t="s">
        <v>292</v>
      </c>
    </row>
    <row r="4" s="55" customFormat="1" ht="15" customHeight="1">
      <c r="A4" s="55">
        <v>0</v>
      </c>
      <c r="D4" s="55">
        <v>0</v>
      </c>
      <c r="F4" s="57" t="s">
        <v>457</v>
      </c>
      <c r="G4" s="72">
        <f>VARP(C5:C204)/(1+G3^2)</f>
        <v>0.19133801343100601</v>
      </c>
      <c r="I4" s="55" t="e">
        <v>#NAME?</v>
      </c>
      <c r="K4" s="57">
        <v>1</v>
      </c>
      <c r="L4" s="55" t="e">
        <v>#NAME?</v>
      </c>
    </row>
    <row r="5" s="55" customFormat="1" ht="15" customHeight="1">
      <c r="A5" s="55">
        <v>1</v>
      </c>
      <c r="B5" s="55">
        <v>-0.51207912635870179</v>
      </c>
      <c r="C5" s="55">
        <f>B5</f>
        <v>-0.51207912635870201</v>
      </c>
      <c r="D5" s="55">
        <f t="shared" ref="D5:D9" si="822">C5-$G$3*D4</f>
        <v>-0.51207912635870201</v>
      </c>
      <c r="E5" s="57"/>
      <c r="I5" t="e">
        <v>#NAME?</v>
      </c>
      <c r="K5" s="15">
        <v>2</v>
      </c>
      <c r="L5" s="55" t="e">
        <v>#NAME?</v>
      </c>
    </row>
    <row r="6" s="55" customFormat="1" ht="15" customHeight="1">
      <c r="A6" s="55">
        <f t="shared" ref="A6:A10" si="823">A5+1</f>
        <v>2</v>
      </c>
      <c r="B6" s="55">
        <v>-0.36334374693531363</v>
      </c>
      <c r="C6" s="55">
        <f t="shared" ref="C6:C9" si="824">B6-0.4*B5</f>
        <v>-0.158512096391833</v>
      </c>
      <c r="D6" s="55">
        <f t="shared" si="822"/>
        <v>-0.341051640460943</v>
      </c>
      <c r="E6" s="15"/>
      <c r="F6" s="15" t="s">
        <v>464</v>
      </c>
      <c r="G6" s="18">
        <f>SUMSQ(D5:D204)</f>
        <v>39.128145625031699</v>
      </c>
      <c r="I6" t="e">
        <v>#NAME?</v>
      </c>
      <c r="K6" s="15">
        <v>3</v>
      </c>
      <c r="L6" s="55" t="e">
        <v>#NAME?</v>
      </c>
    </row>
    <row r="7" s="55" customFormat="1" ht="15" customHeight="1">
      <c r="A7" s="55">
        <f t="shared" si="823"/>
        <v>3</v>
      </c>
      <c r="B7" s="55">
        <v>0.11192767204794296</v>
      </c>
      <c r="C7" s="55">
        <f t="shared" si="824"/>
        <v>0.25726517082206901</v>
      </c>
      <c r="D7" s="55">
        <f t="shared" si="822"/>
        <v>0.135691359765857</v>
      </c>
      <c r="E7" s="15"/>
      <c r="K7" s="15">
        <v>4</v>
      </c>
      <c r="L7" s="55" t="e">
        <v>#NAME?</v>
      </c>
    </row>
    <row r="8" s="55" customFormat="1" ht="15" customHeight="1">
      <c r="A8" s="55">
        <f t="shared" si="823"/>
        <v>4</v>
      </c>
      <c r="B8" s="55">
        <v>2.6947470072676359e-02</v>
      </c>
      <c r="C8" s="55">
        <f t="shared" si="824"/>
        <v>-1.7823598746500999e-02</v>
      </c>
      <c r="D8" s="55">
        <f t="shared" si="822"/>
        <v>3.0545955236113e-02</v>
      </c>
      <c r="E8" s="15"/>
      <c r="K8" s="15">
        <v>5</v>
      </c>
      <c r="L8" s="55" t="e">
        <v>#NAME?</v>
      </c>
    </row>
    <row r="9" s="55" customFormat="1" ht="15" customHeight="1">
      <c r="A9" s="55">
        <f t="shared" si="823"/>
        <v>5</v>
      </c>
      <c r="B9" s="55">
        <v>-1.6753415454899442e-02</v>
      </c>
      <c r="C9" s="55">
        <f t="shared" si="824"/>
        <v>-2.7532403483969004e-02</v>
      </c>
      <c r="D9" s="55">
        <f t="shared" si="822"/>
        <v>-1.6643764492561001e-02</v>
      </c>
      <c r="E9" s="15"/>
      <c r="K9" s="15">
        <v>6</v>
      </c>
      <c r="L9" s="55" t="e">
        <v>#NAME?</v>
      </c>
    </row>
    <row r="10" s="55" customFormat="1" ht="15" customHeight="1">
      <c r="A10" s="55">
        <f t="shared" si="823"/>
        <v>6</v>
      </c>
      <c r="B10" s="55">
        <v>8.1914358993839198e-02</v>
      </c>
      <c r="C10" s="55">
        <f>B10-0.4*B9</f>
        <v>8.8615725175799021e-02</v>
      </c>
      <c r="D10" s="55">
        <f>C10-$G$3*D9</f>
        <v>8.2682764768547995e-02</v>
      </c>
      <c r="E10" s="15"/>
      <c r="K10" s="15">
        <v>7</v>
      </c>
      <c r="L10" s="55" t="e">
        <v>#NAME?</v>
      </c>
    </row>
    <row r="11" s="55" customFormat="1" ht="15" customHeight="1">
      <c r="A11" s="55">
        <f t="shared" ref="A11:A74" si="825">A10+1</f>
        <v>7</v>
      </c>
      <c r="B11" s="55">
        <v>0.63820678984685353</v>
      </c>
      <c r="C11" s="55">
        <f t="shared" ref="C11:C74" si="826">B11-0.4*B10</f>
        <v>0.60544104624931805</v>
      </c>
      <c r="D11" s="55">
        <f t="shared" ref="D11:D74" si="827">C11-$G$3*D10</f>
        <v>0.634914761162376</v>
      </c>
      <c r="E11" s="15"/>
      <c r="K11" s="15">
        <v>8</v>
      </c>
      <c r="L11" s="55" t="e">
        <v>#NAME?</v>
      </c>
    </row>
    <row r="12" s="55" customFormat="1" ht="15" customHeight="1">
      <c r="A12" s="55">
        <f t="shared" si="825"/>
        <v>8</v>
      </c>
      <c r="B12" s="55">
        <v>0.13169322212412096</v>
      </c>
      <c r="C12" s="55">
        <f t="shared" si="826"/>
        <v>-0.123589493814621</v>
      </c>
      <c r="D12" s="55">
        <f t="shared" si="827"/>
        <v>0.10273695664910001</v>
      </c>
      <c r="E12" s="15"/>
      <c r="K12" s="15">
        <v>9</v>
      </c>
      <c r="L12" s="55" t="e">
        <v>#NAME?</v>
      </c>
    </row>
    <row r="13" s="55" customFormat="1" ht="15" customHeight="1">
      <c r="A13" s="55">
        <f t="shared" si="825"/>
        <v>9</v>
      </c>
      <c r="B13" s="55">
        <v>-5.7137285520943486e-02</v>
      </c>
      <c r="C13" s="55">
        <f t="shared" si="826"/>
        <v>-0.10981457437059099</v>
      </c>
      <c r="D13" s="55">
        <f t="shared" si="827"/>
        <v>-7.3192192671248005e-02</v>
      </c>
      <c r="E13" s="15"/>
      <c r="K13" s="15">
        <v>10</v>
      </c>
      <c r="L13" s="55" t="e">
        <v>#NAME?</v>
      </c>
    </row>
    <row r="14" s="55" customFormat="1" ht="15" customHeight="1">
      <c r="A14" s="55">
        <f t="shared" si="825"/>
        <v>10</v>
      </c>
      <c r="B14" s="55">
        <v>0.54124755369311517</v>
      </c>
      <c r="C14" s="55">
        <f t="shared" si="826"/>
        <v>0.56410246790149199</v>
      </c>
      <c r="D14" s="55">
        <f t="shared" si="827"/>
        <v>0.538011833091532</v>
      </c>
      <c r="E14" s="15"/>
      <c r="K14" s="15">
        <v>11</v>
      </c>
      <c r="L14" s="55" t="e">
        <v>#NAME?</v>
      </c>
    </row>
    <row r="15">
      <c r="A15" s="55">
        <f t="shared" si="825"/>
        <v>11</v>
      </c>
      <c r="B15" s="55">
        <v>0.43912452837972638</v>
      </c>
      <c r="C15" s="55">
        <f t="shared" si="826"/>
        <v>0.22262550690248001</v>
      </c>
      <c r="D15" s="55">
        <f t="shared" si="827"/>
        <v>0.414409216999504</v>
      </c>
      <c r="K15" s="15">
        <v>12</v>
      </c>
      <c r="L15" s="55" t="e">
        <v>#NAME?</v>
      </c>
    </row>
    <row r="16">
      <c r="A16">
        <f t="shared" si="825"/>
        <v>12</v>
      </c>
      <c r="B16">
        <v>0.54883288339069092</v>
      </c>
      <c r="C16" s="55">
        <f t="shared" si="826"/>
        <v>0.37318307203880102</v>
      </c>
      <c r="D16" s="55">
        <f t="shared" si="827"/>
        <v>0.52090647187161898</v>
      </c>
      <c r="K16" s="15">
        <v>13</v>
      </c>
      <c r="L16" s="55" t="e">
        <v>#NAME?</v>
      </c>
    </row>
    <row r="17">
      <c r="A17">
        <f t="shared" si="825"/>
        <v>13</v>
      </c>
      <c r="B17">
        <v>0.85693829196286697</v>
      </c>
      <c r="C17" s="55">
        <f t="shared" si="826"/>
        <v>0.63740513860659098</v>
      </c>
      <c r="D17" s="55">
        <f t="shared" si="827"/>
        <v>0.82309134408470297</v>
      </c>
      <c r="K17" s="15">
        <v>14</v>
      </c>
      <c r="L17" s="55" t="e">
        <v>#NAME?</v>
      </c>
    </row>
    <row r="18">
      <c r="A18">
        <f t="shared" si="825"/>
        <v>14</v>
      </c>
      <c r="B18">
        <v>0.43225906999569402</v>
      </c>
      <c r="C18" s="55">
        <f t="shared" si="826"/>
        <v>8.9483753210546996e-02</v>
      </c>
      <c r="D18" s="55">
        <f t="shared" si="827"/>
        <v>0.38288903169715299</v>
      </c>
      <c r="K18" s="17">
        <v>15</v>
      </c>
      <c r="L18" s="67" t="e">
        <v>#NAME?</v>
      </c>
    </row>
    <row r="19">
      <c r="A19">
        <f t="shared" si="825"/>
        <v>15</v>
      </c>
      <c r="B19">
        <v>-6.4599939622106764e-02</v>
      </c>
      <c r="C19" s="55">
        <f t="shared" si="826"/>
        <v>-0.23750356762038499</v>
      </c>
      <c r="D19" s="55">
        <f t="shared" si="827"/>
        <v>-0.10101608809343601</v>
      </c>
    </row>
    <row r="20">
      <c r="A20">
        <f t="shared" si="825"/>
        <v>16</v>
      </c>
      <c r="B20">
        <v>-0.20365610579624818</v>
      </c>
      <c r="C20" s="55">
        <f t="shared" si="826"/>
        <v>-0.177816129947405</v>
      </c>
      <c r="D20" s="55">
        <f t="shared" si="827"/>
        <v>-0.21382507800849901</v>
      </c>
      <c r="K20" s="15" t="s">
        <v>189</v>
      </c>
      <c r="L20" s="18" t="e">
        <v>#NAME?</v>
      </c>
    </row>
    <row r="21">
      <c r="A21">
        <f t="shared" si="825"/>
        <v>17</v>
      </c>
      <c r="B21">
        <v>-0.11232162753376858</v>
      </c>
      <c r="C21" s="55">
        <f t="shared" si="826"/>
        <v>-3.0859185215270001e-02</v>
      </c>
      <c r="D21" s="55">
        <f t="shared" si="827"/>
        <v>-0.107080867063072</v>
      </c>
    </row>
    <row r="22">
      <c r="A22">
        <f t="shared" si="825"/>
        <v>18</v>
      </c>
      <c r="B22">
        <v>-0.12263390545953903</v>
      </c>
      <c r="C22" s="55">
        <f t="shared" si="826"/>
        <v>-7.7705254446031005e-02</v>
      </c>
      <c r="D22" s="55">
        <f t="shared" si="827"/>
        <v>-0.11587609884503899</v>
      </c>
    </row>
    <row r="23">
      <c r="A23">
        <f t="shared" si="825"/>
        <v>19</v>
      </c>
      <c r="B23">
        <v>0.49972306363037761</v>
      </c>
      <c r="C23" s="55">
        <f t="shared" si="826"/>
        <v>0.54877662581419395</v>
      </c>
      <c r="D23" s="55">
        <f t="shared" si="827"/>
        <v>0.50747056750619701</v>
      </c>
    </row>
    <row r="24">
      <c r="A24">
        <f t="shared" si="825"/>
        <v>20</v>
      </c>
      <c r="B24">
        <v>-7.1075109664115246e-02</v>
      </c>
      <c r="C24" s="55">
        <f t="shared" si="826"/>
        <v>-0.270964335116266</v>
      </c>
      <c r="D24" s="55">
        <f t="shared" si="827"/>
        <v>-9.0067592302762012e-02</v>
      </c>
    </row>
    <row r="25">
      <c r="A25">
        <f t="shared" si="825"/>
        <v>21</v>
      </c>
      <c r="B25">
        <v>0.9239136154717118</v>
      </c>
      <c r="C25" s="55">
        <f t="shared" si="826"/>
        <v>0.95234365933735798</v>
      </c>
      <c r="D25" s="55">
        <f t="shared" si="827"/>
        <v>0.92023749373116215</v>
      </c>
    </row>
    <row r="26">
      <c r="A26">
        <f t="shared" si="825"/>
        <v>22</v>
      </c>
      <c r="B26">
        <v>0.15295754626692404</v>
      </c>
      <c r="C26" s="55">
        <f t="shared" si="826"/>
        <v>-0.21660789992176097</v>
      </c>
      <c r="D26" s="55">
        <f t="shared" si="827"/>
        <v>0.111426819508143</v>
      </c>
    </row>
    <row r="27">
      <c r="A27">
        <f t="shared" si="825"/>
        <v>23</v>
      </c>
      <c r="B27">
        <v>0.33328421180909706</v>
      </c>
      <c r="C27" s="55">
        <f t="shared" si="826"/>
        <v>0.27210119330232702</v>
      </c>
      <c r="D27" s="55">
        <f t="shared" si="827"/>
        <v>0.31182122831863401</v>
      </c>
    </row>
    <row r="28">
      <c r="A28">
        <f t="shared" si="825"/>
        <v>24</v>
      </c>
      <c r="B28">
        <v>0.18774221804470159</v>
      </c>
      <c r="C28" s="55">
        <f t="shared" si="826"/>
        <v>5.4428533321063004e-02</v>
      </c>
      <c r="D28" s="55">
        <f t="shared" si="827"/>
        <v>0.16558265368738001</v>
      </c>
    </row>
    <row r="29">
      <c r="A29">
        <f t="shared" si="825"/>
        <v>25</v>
      </c>
      <c r="B29">
        <v>0.22501409955220569</v>
      </c>
      <c r="C29" s="55">
        <f t="shared" si="826"/>
        <v>0.14991721233432501</v>
      </c>
      <c r="D29" s="55">
        <f t="shared" si="827"/>
        <v>0.20894203985419399</v>
      </c>
    </row>
    <row r="30">
      <c r="A30">
        <f t="shared" si="825"/>
        <v>26</v>
      </c>
      <c r="B30">
        <v>0.10138721615401489</v>
      </c>
      <c r="C30" s="55">
        <f t="shared" si="826"/>
        <v>1.1381576333133e-02</v>
      </c>
      <c r="D30" s="55">
        <f t="shared" si="827"/>
        <v>8.5862613986555994e-02</v>
      </c>
    </row>
    <row r="31">
      <c r="A31">
        <f t="shared" si="825"/>
        <v>27</v>
      </c>
      <c r="B31">
        <v>0.16772638439529056</v>
      </c>
      <c r="C31" s="55">
        <f t="shared" si="826"/>
        <v>0.12717149793368501</v>
      </c>
      <c r="D31" s="55">
        <f t="shared" si="827"/>
        <v>0.15777872561183301</v>
      </c>
    </row>
    <row r="32">
      <c r="A32">
        <f t="shared" si="825"/>
        <v>28</v>
      </c>
      <c r="B32">
        <v>-0.31651644142481467</v>
      </c>
      <c r="C32" s="55">
        <f t="shared" si="826"/>
        <v>-0.38360699518293101</v>
      </c>
      <c r="D32" s="55">
        <f t="shared" si="827"/>
        <v>-0.32736401406048898</v>
      </c>
    </row>
    <row r="33">
      <c r="A33">
        <f t="shared" si="825"/>
        <v>29</v>
      </c>
      <c r="B33">
        <v>-0.5906899743325249</v>
      </c>
      <c r="C33" s="55">
        <f t="shared" si="826"/>
        <v>-0.46408339776259899</v>
      </c>
      <c r="D33" s="55">
        <f t="shared" si="827"/>
        <v>-0.58077801544044805</v>
      </c>
    </row>
    <row r="34">
      <c r="A34">
        <f t="shared" si="825"/>
        <v>30</v>
      </c>
      <c r="B34">
        <v>0.3060210831404202</v>
      </c>
      <c r="C34" s="55">
        <f t="shared" si="826"/>
        <v>0.54229707287342999</v>
      </c>
      <c r="D34" s="55">
        <f t="shared" si="827"/>
        <v>0.33526861049943202</v>
      </c>
    </row>
    <row r="35">
      <c r="A35">
        <f t="shared" si="825"/>
        <v>31</v>
      </c>
      <c r="B35">
        <v>-0.62752248082675643</v>
      </c>
      <c r="C35" s="55">
        <f t="shared" si="826"/>
        <v>-0.749930914082925</v>
      </c>
      <c r="D35" s="55">
        <f t="shared" si="827"/>
        <v>-0.63041856501212701</v>
      </c>
    </row>
    <row r="36">
      <c r="A36">
        <f t="shared" si="825"/>
        <v>32</v>
      </c>
      <c r="B36">
        <v>0.23702118556121193</v>
      </c>
      <c r="C36" s="55">
        <f t="shared" si="826"/>
        <v>0.488030177891915</v>
      </c>
      <c r="D36" s="55">
        <f t="shared" si="827"/>
        <v>0.26330647503704102</v>
      </c>
    </row>
    <row r="37">
      <c r="A37">
        <f t="shared" si="825"/>
        <v>33</v>
      </c>
      <c r="B37">
        <v>-9.8704944770256611e-02</v>
      </c>
      <c r="C37" s="55">
        <f t="shared" si="826"/>
        <v>-0.193513418994742</v>
      </c>
      <c r="D37" s="55">
        <f t="shared" si="827"/>
        <v>-9.9653229368426008e-02</v>
      </c>
    </row>
    <row r="38">
      <c r="A38">
        <f t="shared" si="825"/>
        <v>34</v>
      </c>
      <c r="B38">
        <v>0.33462467270222163</v>
      </c>
      <c r="C38" s="55">
        <f t="shared" si="826"/>
        <v>0.374106650610325</v>
      </c>
      <c r="D38" s="55">
        <f t="shared" si="827"/>
        <v>0.33858351733348702</v>
      </c>
    </row>
    <row r="39">
      <c r="A39">
        <f t="shared" si="825"/>
        <v>35</v>
      </c>
      <c r="B39">
        <v>7.6903283588442367e-02</v>
      </c>
      <c r="C39" s="55">
        <f t="shared" si="826"/>
        <v>-5.6946585492447001e-02</v>
      </c>
      <c r="D39" s="55">
        <f t="shared" si="827"/>
        <v>6.3747419988412005e-02</v>
      </c>
    </row>
    <row r="40">
      <c r="A40">
        <f t="shared" si="825"/>
        <v>36</v>
      </c>
      <c r="B40">
        <v>-0.31754085082588029</v>
      </c>
      <c r="C40" s="55">
        <f t="shared" si="826"/>
        <v>-0.34830216426125699</v>
      </c>
      <c r="D40" s="55">
        <f t="shared" si="827"/>
        <v>-0.32557828355357998</v>
      </c>
    </row>
    <row r="41">
      <c r="A41">
        <f t="shared" si="825"/>
        <v>37</v>
      </c>
      <c r="B41">
        <v>-0.25419372210868718</v>
      </c>
      <c r="C41" s="55">
        <f t="shared" si="826"/>
        <v>-0.12717738177833501</v>
      </c>
      <c r="D41" s="55">
        <f t="shared" si="827"/>
        <v>-0.24323544464310404</v>
      </c>
    </row>
    <row r="42">
      <c r="A42">
        <f t="shared" si="825"/>
        <v>38</v>
      </c>
      <c r="B42">
        <v>0.62604102360566283</v>
      </c>
      <c r="C42" s="55">
        <f t="shared" si="826"/>
        <v>0.72771851244913799</v>
      </c>
      <c r="D42" s="55">
        <f t="shared" si="827"/>
        <v>0.64101299199115702</v>
      </c>
    </row>
    <row r="43">
      <c r="A43">
        <f t="shared" si="825"/>
        <v>39</v>
      </c>
      <c r="B43">
        <v>0.65942009251344469</v>
      </c>
      <c r="C43" s="55">
        <f t="shared" si="826"/>
        <v>0.40900368307118001</v>
      </c>
      <c r="D43" s="55">
        <f t="shared" si="827"/>
        <v>0.63750395437198404</v>
      </c>
    </row>
    <row r="44">
      <c r="A44">
        <f t="shared" si="825"/>
        <v>40</v>
      </c>
      <c r="B44">
        <v>3.9187187377916322e-02</v>
      </c>
      <c r="C44" s="55">
        <f t="shared" si="826"/>
        <v>-0.224580849627462</v>
      </c>
      <c r="D44" s="55">
        <f t="shared" si="827"/>
        <v>2.6685639559420001e-03</v>
      </c>
    </row>
    <row r="45">
      <c r="A45">
        <f t="shared" si="825"/>
        <v>41</v>
      </c>
      <c r="B45">
        <v>0.17389833870797153</v>
      </c>
      <c r="C45" s="55">
        <f t="shared" si="826"/>
        <v>0.15822346375680599</v>
      </c>
      <c r="D45" s="55">
        <f t="shared" si="827"/>
        <v>0.15917471996461299</v>
      </c>
    </row>
    <row r="46">
      <c r="A46">
        <f t="shared" si="825"/>
        <v>42</v>
      </c>
      <c r="B46">
        <v>-0.11526190497676622</v>
      </c>
      <c r="C46" s="55">
        <f t="shared" si="826"/>
        <v>-0.18482124045995499</v>
      </c>
      <c r="D46" s="55">
        <f t="shared" si="827"/>
        <v>-0.12808063278028201</v>
      </c>
    </row>
    <row r="47">
      <c r="A47">
        <f t="shared" si="825"/>
        <v>43</v>
      </c>
      <c r="B47">
        <v>-0.30619159093863518</v>
      </c>
      <c r="C47" s="55">
        <f t="shared" si="826"/>
        <v>-0.26008682894792901</v>
      </c>
      <c r="D47" s="55">
        <f t="shared" si="827"/>
        <v>-0.30574340643439102</v>
      </c>
    </row>
    <row r="48">
      <c r="A48">
        <f t="shared" si="825"/>
        <v>44</v>
      </c>
      <c r="B48">
        <v>0.13241610578810847</v>
      </c>
      <c r="C48" s="55">
        <f t="shared" si="826"/>
        <v>0.254892742163562</v>
      </c>
      <c r="D48" s="55">
        <f t="shared" si="827"/>
        <v>0.14590516750976401</v>
      </c>
    </row>
    <row r="49">
      <c r="A49">
        <f t="shared" si="825"/>
        <v>45</v>
      </c>
      <c r="B49">
        <v>-0.54694148767811068</v>
      </c>
      <c r="C49" s="55">
        <f t="shared" si="826"/>
        <v>-0.59990792999335396</v>
      </c>
      <c r="D49" s="55">
        <f t="shared" si="827"/>
        <v>-0.54789748593572396</v>
      </c>
    </row>
    <row r="50">
      <c r="A50">
        <f t="shared" si="825"/>
        <v>46</v>
      </c>
      <c r="B50">
        <v>7.5804716770691852e-02</v>
      </c>
      <c r="C50" s="55">
        <f t="shared" si="826"/>
        <v>0.29458131184193598</v>
      </c>
      <c r="D50" s="55">
        <f t="shared" si="827"/>
        <v>9.9273688212572e-02</v>
      </c>
    </row>
    <row r="51">
      <c r="A51">
        <f t="shared" si="825"/>
        <v>47</v>
      </c>
      <c r="B51">
        <v>-1.3805346031133389e-02</v>
      </c>
      <c r="C51" s="55">
        <f t="shared" si="826"/>
        <v>-4.4127232739410001e-02</v>
      </c>
      <c r="D51" s="55">
        <f t="shared" si="827"/>
        <v>-8.7393935333100001e-03</v>
      </c>
    </row>
    <row r="52">
      <c r="A52">
        <f t="shared" si="825"/>
        <v>48</v>
      </c>
      <c r="B52">
        <v>0.33052630065869121</v>
      </c>
      <c r="C52" s="55">
        <f t="shared" si="826"/>
        <v>0.33604843907114401</v>
      </c>
      <c r="D52" s="55">
        <f t="shared" si="827"/>
        <v>0.33293312968067001</v>
      </c>
    </row>
    <row r="53">
      <c r="A53">
        <f t="shared" si="825"/>
        <v>49</v>
      </c>
      <c r="B53">
        <v>6.3089327347226012e-02</v>
      </c>
      <c r="C53" s="55">
        <f t="shared" si="826"/>
        <v>-6.9121192916250004e-02</v>
      </c>
      <c r="D53" s="55">
        <f t="shared" si="827"/>
        <v>4.955863324569499e-02</v>
      </c>
    </row>
    <row r="54">
      <c r="A54">
        <f t="shared" si="825"/>
        <v>50</v>
      </c>
      <c r="B54">
        <v>-0.26048714702548137</v>
      </c>
      <c r="C54" s="55">
        <f t="shared" si="826"/>
        <v>-0.28572287796437101</v>
      </c>
      <c r="D54" s="55">
        <f t="shared" si="827"/>
        <v>-0.26805683798792301</v>
      </c>
    </row>
    <row r="55">
      <c r="A55">
        <f t="shared" si="825"/>
        <v>51</v>
      </c>
      <c r="B55">
        <v>0.64674810862294951</v>
      </c>
      <c r="C55" s="55">
        <f t="shared" si="826"/>
        <v>0.75094296743314204</v>
      </c>
      <c r="D55" s="55">
        <f t="shared" si="827"/>
        <v>0.65538942800484701</v>
      </c>
    </row>
    <row r="56">
      <c r="A56">
        <f t="shared" si="825"/>
        <v>52</v>
      </c>
      <c r="B56">
        <v>0.70366243241228776</v>
      </c>
      <c r="C56" s="55">
        <f t="shared" si="826"/>
        <v>0.44496318896310799</v>
      </c>
      <c r="D56" s="55">
        <f t="shared" si="827"/>
        <v>0.67858819185361496</v>
      </c>
    </row>
    <row r="57">
      <c r="A57">
        <f t="shared" si="825"/>
        <v>53</v>
      </c>
      <c r="B57">
        <v>4.8029876219132531e-02</v>
      </c>
      <c r="C57" s="55">
        <f t="shared" si="826"/>
        <v>-0.23343509674578203</v>
      </c>
      <c r="D57" s="55">
        <f t="shared" si="827"/>
        <v>8.4595105045689994e-03</v>
      </c>
    </row>
    <row r="58">
      <c r="A58">
        <f t="shared" si="825"/>
        <v>54</v>
      </c>
      <c r="B58">
        <v>0.51735363915428412</v>
      </c>
      <c r="C58" s="55">
        <f t="shared" si="826"/>
        <v>0.49814168866663094</v>
      </c>
      <c r="D58" s="55">
        <f t="shared" si="827"/>
        <v>0.50115722886553005</v>
      </c>
    </row>
    <row r="59">
      <c r="A59">
        <f t="shared" si="825"/>
        <v>55</v>
      </c>
      <c r="B59">
        <v>0.16904804283569394</v>
      </c>
      <c r="C59" s="55">
        <f t="shared" si="826"/>
        <v>-3.7893412826019997e-02</v>
      </c>
      <c r="D59" s="55">
        <f t="shared" si="827"/>
        <v>0.14075283021566901</v>
      </c>
    </row>
    <row r="60">
      <c r="A60">
        <f t="shared" si="825"/>
        <v>56</v>
      </c>
      <c r="B60">
        <v>0.87765490133672563</v>
      </c>
      <c r="C60" s="55">
        <f t="shared" si="826"/>
        <v>0.81003568420244798</v>
      </c>
      <c r="D60" s="55">
        <f t="shared" si="827"/>
        <v>0.86020948768610705</v>
      </c>
    </row>
    <row r="61">
      <c r="A61">
        <f t="shared" si="825"/>
        <v>57</v>
      </c>
      <c r="B61">
        <v>0.13484802117187897</v>
      </c>
      <c r="C61" s="55">
        <f t="shared" si="826"/>
        <v>-0.216213939362811</v>
      </c>
      <c r="D61" s="55">
        <f t="shared" si="827"/>
        <v>9.0422749390157001e-02</v>
      </c>
    </row>
    <row r="62">
      <c r="A62">
        <f t="shared" si="825"/>
        <v>58</v>
      </c>
      <c r="B62">
        <v>0.27471421248229122</v>
      </c>
      <c r="C62" s="55">
        <f t="shared" si="826"/>
        <v>0.220775004013539</v>
      </c>
      <c r="D62" s="55">
        <f t="shared" si="827"/>
        <v>0.253007771563593</v>
      </c>
    </row>
    <row r="63">
      <c r="A63">
        <f t="shared" si="825"/>
        <v>59</v>
      </c>
      <c r="B63">
        <v>0.7504454867726611</v>
      </c>
      <c r="C63" s="55">
        <f t="shared" si="826"/>
        <v>0.64055980177974503</v>
      </c>
      <c r="D63" s="55">
        <f t="shared" si="827"/>
        <v>0.730748838766207</v>
      </c>
    </row>
    <row r="64">
      <c r="A64">
        <f t="shared" si="825"/>
        <v>60</v>
      </c>
      <c r="B64">
        <v>0.43224327377155569</v>
      </c>
      <c r="C64" s="55">
        <f t="shared" si="826"/>
        <v>0.13206507906249201</v>
      </c>
      <c r="D64" s="55">
        <f t="shared" si="827"/>
        <v>0.39255325948478398</v>
      </c>
    </row>
    <row r="65">
      <c r="A65">
        <f t="shared" si="825"/>
        <v>61</v>
      </c>
      <c r="B65">
        <v>-3.9059421132505837e-02</v>
      </c>
      <c r="C65" s="55">
        <f t="shared" si="826"/>
        <v>-0.21195673064112799</v>
      </c>
      <c r="D65" s="55">
        <f t="shared" si="827"/>
        <v>-7.2024268408715994e-02</v>
      </c>
    </row>
    <row r="66">
      <c r="A66">
        <f t="shared" si="825"/>
        <v>62</v>
      </c>
      <c r="B66">
        <v>-0.50717404197370719</v>
      </c>
      <c r="C66" s="55">
        <f t="shared" si="826"/>
        <v>-0.49155027352070502</v>
      </c>
      <c r="D66" s="55">
        <f t="shared" si="827"/>
        <v>-0.51722458133857296</v>
      </c>
    </row>
    <row r="67">
      <c r="A67">
        <f t="shared" si="825"/>
        <v>63</v>
      </c>
      <c r="B67">
        <v>0.51960944946831655</v>
      </c>
      <c r="C67" s="55">
        <f t="shared" si="826"/>
        <v>0.72247906625780001</v>
      </c>
      <c r="D67" s="55">
        <f t="shared" si="827"/>
        <v>0.53810533493576895</v>
      </c>
    </row>
    <row r="68">
      <c r="A68">
        <f t="shared" si="825"/>
        <v>64</v>
      </c>
      <c r="B68">
        <v>-0.26181646538481168</v>
      </c>
      <c r="C68" s="55">
        <f t="shared" si="826"/>
        <v>-0.46966024517213895</v>
      </c>
      <c r="D68" s="55">
        <f t="shared" si="827"/>
        <v>-0.27784320471045398</v>
      </c>
    </row>
    <row r="69">
      <c r="A69">
        <f t="shared" si="825"/>
        <v>65</v>
      </c>
      <c r="B69">
        <v>-0.13816887905714118</v>
      </c>
      <c r="C69" s="55">
        <f t="shared" si="826"/>
        <v>-3.3442292903216e-02</v>
      </c>
      <c r="D69" s="55">
        <f t="shared" si="827"/>
        <v>-0.132484353592525</v>
      </c>
    </row>
    <row r="70">
      <c r="A70">
        <f t="shared" si="825"/>
        <v>66</v>
      </c>
      <c r="B70">
        <v>-9.6577054658605055e-02</v>
      </c>
      <c r="C70" s="55">
        <f t="shared" si="826"/>
        <v>-4.1309503035748998e-02</v>
      </c>
      <c r="D70" s="55">
        <f t="shared" si="827"/>
        <v>-8.8535863682463009e-02</v>
      </c>
    </row>
    <row r="71">
      <c r="A71">
        <f t="shared" si="825"/>
        <v>67</v>
      </c>
      <c r="B71">
        <v>5.7370588729134822e-02</v>
      </c>
      <c r="C71" s="55">
        <f t="shared" si="826"/>
        <v>9.6001410592576997e-02</v>
      </c>
      <c r="D71" s="55">
        <f t="shared" si="827"/>
        <v>6.4441256392812007e-02</v>
      </c>
    </row>
    <row r="72">
      <c r="A72">
        <f t="shared" si="825"/>
        <v>68</v>
      </c>
      <c r="B72">
        <v>-0.17149698873547628</v>
      </c>
      <c r="C72" s="55">
        <f t="shared" si="826"/>
        <v>-0.19444522422713001</v>
      </c>
      <c r="D72" s="55">
        <f t="shared" si="827"/>
        <v>-0.171474013420649</v>
      </c>
    </row>
    <row r="73">
      <c r="A73">
        <f t="shared" si="825"/>
        <v>69</v>
      </c>
      <c r="B73">
        <v>-0.26611226014777861</v>
      </c>
      <c r="C73" s="55">
        <f t="shared" si="826"/>
        <v>-0.19751346465358899</v>
      </c>
      <c r="D73" s="55">
        <f t="shared" si="827"/>
        <v>-0.25863837019715202</v>
      </c>
    </row>
    <row r="74">
      <c r="A74">
        <f t="shared" si="825"/>
        <v>70</v>
      </c>
      <c r="B74">
        <v>0.18782245949059648</v>
      </c>
      <c r="C74" s="55">
        <f t="shared" si="826"/>
        <v>0.294267363549709</v>
      </c>
      <c r="D74" s="55">
        <f t="shared" si="827"/>
        <v>0.20207120138571</v>
      </c>
    </row>
    <row r="75">
      <c r="A75">
        <f t="shared" ref="A75:A100" si="828">A74+1</f>
        <v>71</v>
      </c>
      <c r="B75">
        <v>0.41543305078380388</v>
      </c>
      <c r="C75" s="55">
        <f t="shared" ref="C75:C99" si="829">B75-0.4*B74</f>
        <v>0.34030406698756499</v>
      </c>
      <c r="D75" s="55">
        <f t="shared" ref="D75:D99" si="830">C75-$G$3*D74</f>
        <v>0.41233587432315</v>
      </c>
    </row>
    <row r="76">
      <c r="A76">
        <f t="shared" si="828"/>
        <v>72</v>
      </c>
      <c r="B76">
        <v>0.70353176573511111</v>
      </c>
      <c r="C76" s="55">
        <f t="shared" si="829"/>
        <v>0.53735854542158901</v>
      </c>
      <c r="D76" s="55">
        <f t="shared" si="830"/>
        <v>0.68434286606261896</v>
      </c>
    </row>
    <row r="77">
      <c r="A77">
        <f t="shared" si="828"/>
        <v>73</v>
      </c>
      <c r="B77">
        <v>-0.3952458411406039</v>
      </c>
      <c r="C77" s="55">
        <f t="shared" si="829"/>
        <v>-0.67665854743464804</v>
      </c>
      <c r="D77" s="55">
        <f t="shared" si="830"/>
        <v>-0.43271258610187802</v>
      </c>
    </row>
    <row r="78">
      <c r="A78">
        <f t="shared" si="828"/>
        <v>74</v>
      </c>
      <c r="B78">
        <v>-0.51964111108785283</v>
      </c>
      <c r="C78" s="55">
        <f t="shared" si="829"/>
        <v>-0.361542774631611</v>
      </c>
      <c r="D78" s="55">
        <f t="shared" si="830"/>
        <v>-0.51579072990693198</v>
      </c>
    </row>
    <row r="79">
      <c r="A79">
        <f t="shared" si="828"/>
        <v>75</v>
      </c>
      <c r="B79">
        <v>0.14942689895794989</v>
      </c>
      <c r="C79" s="55">
        <f t="shared" si="829"/>
        <v>0.35728334339309098</v>
      </c>
      <c r="D79" s="55">
        <f t="shared" si="830"/>
        <v>0.17342073344493</v>
      </c>
    </row>
    <row r="80">
      <c r="A80">
        <f t="shared" si="828"/>
        <v>76</v>
      </c>
      <c r="B80">
        <v>0.46561919595619383</v>
      </c>
      <c r="C80" s="55">
        <f t="shared" si="829"/>
        <v>0.40584843637301404</v>
      </c>
      <c r="D80" s="55">
        <f t="shared" si="830"/>
        <v>0.46766728425355397</v>
      </c>
    </row>
    <row r="81">
      <c r="A81">
        <f t="shared" si="828"/>
        <v>77</v>
      </c>
      <c r="B81">
        <v>0.28518260718846278</v>
      </c>
      <c r="C81" s="55">
        <f t="shared" si="829"/>
        <v>9.8934928805985006e-02</v>
      </c>
      <c r="D81" s="55">
        <f t="shared" si="830"/>
        <v>0.26564309644936601</v>
      </c>
    </row>
    <row r="82">
      <c r="A82">
        <f t="shared" si="828"/>
        <v>78</v>
      </c>
      <c r="B82">
        <v>-0.79657845002233552</v>
      </c>
      <c r="C82" s="55">
        <f t="shared" si="829"/>
        <v>-0.91065149289772085</v>
      </c>
      <c r="D82" s="55">
        <f t="shared" si="830"/>
        <v>-0.81595837377806502</v>
      </c>
    </row>
    <row r="83">
      <c r="A83">
        <f t="shared" si="828"/>
        <v>79</v>
      </c>
      <c r="B83">
        <v>0.2948278254332069</v>
      </c>
      <c r="C83" s="55">
        <f t="shared" si="829"/>
        <v>0.61345920544214105</v>
      </c>
      <c r="D83" s="55">
        <f t="shared" si="830"/>
        <v>0.32259659874317598</v>
      </c>
    </row>
    <row r="84">
      <c r="A84">
        <f t="shared" si="828"/>
        <v>80</v>
      </c>
      <c r="B84">
        <v>-0.45924627456910311</v>
      </c>
      <c r="C84" s="55">
        <f t="shared" si="829"/>
        <v>-0.57717740474238599</v>
      </c>
      <c r="D84" s="55">
        <f t="shared" si="830"/>
        <v>-0.46218221548021698</v>
      </c>
    </row>
    <row r="85">
      <c r="A85">
        <f t="shared" si="828"/>
        <v>81</v>
      </c>
      <c r="B85">
        <v>-6.2314962980168337e-02</v>
      </c>
      <c r="C85" s="55">
        <f t="shared" si="829"/>
        <v>0.12138354684747302</v>
      </c>
      <c r="D85" s="55">
        <f t="shared" si="830"/>
        <v>-4.3369372277593993e-02</v>
      </c>
    </row>
    <row r="86">
      <c r="A86">
        <f t="shared" si="828"/>
        <v>82</v>
      </c>
      <c r="B86">
        <v>-0.67254194699176528</v>
      </c>
      <c r="C86" s="55">
        <f t="shared" si="829"/>
        <v>-0.64761596179969805</v>
      </c>
      <c r="D86" s="55">
        <f t="shared" si="830"/>
        <v>-0.66307573165676903</v>
      </c>
    </row>
    <row r="87">
      <c r="A87">
        <f t="shared" si="828"/>
        <v>83</v>
      </c>
      <c r="B87">
        <v>-0.36329102577914368</v>
      </c>
      <c r="C87" s="55">
        <f t="shared" si="829"/>
        <v>-9.4274246982438012e-02</v>
      </c>
      <c r="D87" s="55">
        <f t="shared" si="830"/>
        <v>-0.33063916699117502</v>
      </c>
    </row>
    <row r="88">
      <c r="A88">
        <f t="shared" si="828"/>
        <v>84</v>
      </c>
      <c r="B88">
        <v>0.24488281260528305</v>
      </c>
      <c r="C88" s="55">
        <f t="shared" si="829"/>
        <v>0.39019922291694098</v>
      </c>
      <c r="D88" s="55">
        <f t="shared" si="830"/>
        <v>0.27233711980188002</v>
      </c>
    </row>
    <row r="89">
      <c r="A89">
        <f t="shared" si="828"/>
        <v>85</v>
      </c>
      <c r="B89">
        <v>0.34561225352951408</v>
      </c>
      <c r="C89" s="55">
        <f t="shared" si="829"/>
        <v>0.24765912848740096</v>
      </c>
      <c r="D89" s="55">
        <f t="shared" si="830"/>
        <v>0.34473844909010698</v>
      </c>
    </row>
    <row r="90">
      <c r="A90">
        <f t="shared" si="828"/>
        <v>86</v>
      </c>
      <c r="B90">
        <v>0.40011886698200072</v>
      </c>
      <c r="C90" s="55">
        <f t="shared" si="829"/>
        <v>0.26187396557019499</v>
      </c>
      <c r="D90" s="55">
        <f t="shared" si="830"/>
        <v>0.38476200392370602</v>
      </c>
    </row>
    <row r="91">
      <c r="A91">
        <f t="shared" si="828"/>
        <v>87</v>
      </c>
      <c r="B91">
        <v>-0.10067849717756343</v>
      </c>
      <c r="C91" s="55">
        <f t="shared" si="829"/>
        <v>-0.26072604397036298</v>
      </c>
      <c r="D91" s="55">
        <f t="shared" si="830"/>
        <v>-0.12357091079636802</v>
      </c>
    </row>
    <row r="92">
      <c r="A92">
        <f t="shared" si="828"/>
        <v>88</v>
      </c>
      <c r="B92">
        <v>0.24606536316588329</v>
      </c>
      <c r="C92" s="55">
        <f t="shared" si="829"/>
        <v>0.286336762036908</v>
      </c>
      <c r="D92" s="55">
        <f t="shared" si="830"/>
        <v>0.24228775367882599</v>
      </c>
    </row>
    <row r="93">
      <c r="A93">
        <f t="shared" si="828"/>
        <v>89</v>
      </c>
      <c r="B93">
        <v>0.12154161546185811</v>
      </c>
      <c r="C93" s="55">
        <f t="shared" si="829"/>
        <v>2.3115470195505e-02</v>
      </c>
      <c r="D93" s="55">
        <f t="shared" si="830"/>
        <v>0.10948316966521901</v>
      </c>
    </row>
    <row r="94">
      <c r="A94">
        <f t="shared" si="828"/>
        <v>90</v>
      </c>
      <c r="B94">
        <v>-0.64956989756150918</v>
      </c>
      <c r="C94" s="55">
        <f t="shared" si="829"/>
        <v>-0.698186543746252</v>
      </c>
      <c r="D94" s="55">
        <f t="shared" si="830"/>
        <v>-0.65915935664718095</v>
      </c>
    </row>
    <row r="95">
      <c r="A95">
        <f t="shared" si="828"/>
        <v>91</v>
      </c>
      <c r="B95">
        <v>0.6011857555182194</v>
      </c>
      <c r="C95" s="55">
        <f t="shared" si="829"/>
        <v>0.86101371454282405</v>
      </c>
      <c r="D95" s="55">
        <f t="shared" si="830"/>
        <v>0.62604485477528005</v>
      </c>
    </row>
    <row r="96">
      <c r="A96">
        <f t="shared" si="828"/>
        <v>92</v>
      </c>
      <c r="B96">
        <v>0.44718607623193696</v>
      </c>
      <c r="C96" s="55">
        <f t="shared" si="829"/>
        <v>0.20671177402464899</v>
      </c>
      <c r="D96" s="55">
        <f t="shared" si="830"/>
        <v>0.42987639151277202</v>
      </c>
    </row>
    <row r="97">
      <c r="A97">
        <f t="shared" si="828"/>
        <v>93</v>
      </c>
      <c r="B97">
        <v>-7.9606486546142483e-02</v>
      </c>
      <c r="C97" s="55">
        <f t="shared" si="829"/>
        <v>-0.25848091703891701</v>
      </c>
      <c r="D97" s="55">
        <f t="shared" si="830"/>
        <v>-0.10524397283695899</v>
      </c>
    </row>
    <row r="98">
      <c r="A98">
        <f t="shared" si="828"/>
        <v>94</v>
      </c>
      <c r="B98">
        <v>0.14220353155740251</v>
      </c>
      <c r="C98" s="55">
        <f t="shared" si="829"/>
        <v>0.17404612617585999</v>
      </c>
      <c r="D98" s="55">
        <f t="shared" si="830"/>
        <v>0.136530074790818</v>
      </c>
    </row>
    <row r="99">
      <c r="A99">
        <f t="shared" si="828"/>
        <v>95</v>
      </c>
      <c r="B99">
        <v>0.77169994942716336</v>
      </c>
      <c r="C99" s="55">
        <f t="shared" si="829"/>
        <v>0.71481853680420204</v>
      </c>
      <c r="D99" s="55">
        <f t="shared" si="830"/>
        <v>0.76348706539909705</v>
      </c>
    </row>
    <row r="100">
      <c r="A100">
        <f t="shared" si="828"/>
        <v>96</v>
      </c>
      <c r="B100">
        <v>-0.12293261993415876</v>
      </c>
      <c r="C100" s="55">
        <f>B100-0.4*B99</f>
        <v>-0.43161259970502402</v>
      </c>
      <c r="D100" s="55">
        <f>C100-$G$3*D99</f>
        <v>-0.159454306880976</v>
      </c>
    </row>
    <row r="101">
      <c r="A101">
        <f t="shared" ref="A101:A164" si="831">A100+1</f>
        <v>97</v>
      </c>
      <c r="B101">
        <v>0.46496436932208718</v>
      </c>
      <c r="C101" s="55">
        <f t="shared" ref="C101:C164" si="832">B101-0.4*B100</f>
        <v>0.51413741729575102</v>
      </c>
      <c r="D101" s="55">
        <f t="shared" ref="D101:D164" si="833">C101-$G$3*D100</f>
        <v>0.45729714597893001</v>
      </c>
    </row>
    <row r="102">
      <c r="A102">
        <f t="shared" si="831"/>
        <v>98</v>
      </c>
      <c r="B102">
        <v>0.31875260921576248</v>
      </c>
      <c r="C102" s="55">
        <f t="shared" si="832"/>
        <v>0.13276686148692801</v>
      </c>
      <c r="D102" s="55">
        <f t="shared" si="833"/>
        <v>0.29577841230852298</v>
      </c>
    </row>
    <row r="103">
      <c r="A103">
        <f t="shared" si="831"/>
        <v>99</v>
      </c>
      <c r="B103">
        <v>-0.48810125234772339</v>
      </c>
      <c r="C103" s="55">
        <f t="shared" si="832"/>
        <v>-0.61560229603402805</v>
      </c>
      <c r="D103" s="55">
        <f t="shared" si="833"/>
        <v>-0.51016691749750198</v>
      </c>
    </row>
    <row r="104">
      <c r="A104">
        <f t="shared" si="831"/>
        <v>100</v>
      </c>
      <c r="B104">
        <v>-0.25274879361122082</v>
      </c>
      <c r="C104" s="55">
        <f t="shared" si="832"/>
        <v>-5.7508292672132005e-02</v>
      </c>
      <c r="D104" s="55">
        <f t="shared" si="833"/>
        <v>-0.239366196510815</v>
      </c>
    </row>
    <row r="105">
      <c r="A105">
        <f t="shared" si="831"/>
        <v>101</v>
      </c>
      <c r="B105">
        <v>0.54117532652533118</v>
      </c>
      <c r="C105" s="55">
        <f t="shared" si="832"/>
        <v>0.64227484396981904</v>
      </c>
      <c r="D105" s="55">
        <f t="shared" si="833"/>
        <v>0.55694858455491303</v>
      </c>
    </row>
    <row r="106">
      <c r="A106">
        <f t="shared" si="831"/>
        <v>102</v>
      </c>
      <c r="B106">
        <v>0.41588929488972981</v>
      </c>
      <c r="C106" s="55">
        <f t="shared" si="832"/>
        <v>0.19941916427959799</v>
      </c>
      <c r="D106" s="55">
        <f t="shared" si="833"/>
        <v>0.39795321001880202</v>
      </c>
    </row>
    <row r="107">
      <c r="A107">
        <f t="shared" si="831"/>
        <v>103</v>
      </c>
      <c r="B107">
        <v>0.16041617374482156</v>
      </c>
      <c r="C107" s="55">
        <f t="shared" si="832"/>
        <v>-5.9395442110700006e-03</v>
      </c>
      <c r="D107" s="55">
        <f t="shared" si="833"/>
        <v>0.13591782465732299</v>
      </c>
    </row>
    <row r="108">
      <c r="A108">
        <f t="shared" si="831"/>
        <v>104</v>
      </c>
      <c r="B108">
        <v>-1.3475817579209379</v>
      </c>
      <c r="C108" s="55">
        <f t="shared" si="832"/>
        <v>-1.41174822741887</v>
      </c>
      <c r="D108" s="55">
        <f t="shared" si="833"/>
        <v>-1.3632979460722501</v>
      </c>
    </row>
    <row r="109">
      <c r="A109">
        <f t="shared" si="831"/>
        <v>105</v>
      </c>
      <c r="B109">
        <v>0.27028380803135105</v>
      </c>
      <c r="C109" s="55">
        <f t="shared" si="832"/>
        <v>0.80931651119972714</v>
      </c>
      <c r="D109" s="55">
        <f t="shared" si="833"/>
        <v>0.32334515892854598</v>
      </c>
    </row>
    <row r="110">
      <c r="A110">
        <f t="shared" si="831"/>
        <v>106</v>
      </c>
      <c r="B110">
        <v>-0.36664722071372097</v>
      </c>
      <c r="C110" s="55">
        <f t="shared" si="832"/>
        <v>-0.474760743926261</v>
      </c>
      <c r="D110" s="55">
        <f t="shared" si="833"/>
        <v>-0.35949871731823602</v>
      </c>
    </row>
    <row r="111">
      <c r="A111">
        <f t="shared" si="831"/>
        <v>107</v>
      </c>
      <c r="B111">
        <v>0.3629695180051602</v>
      </c>
      <c r="C111" s="55">
        <f t="shared" si="832"/>
        <v>0.50962840629064798</v>
      </c>
      <c r="D111" s="55">
        <f t="shared" si="833"/>
        <v>0.381478812653954</v>
      </c>
    </row>
    <row r="112">
      <c r="A112">
        <f t="shared" si="831"/>
        <v>108</v>
      </c>
      <c r="B112">
        <v>3.405456366832614e-02</v>
      </c>
      <c r="C112" s="55">
        <f t="shared" si="832"/>
        <v>-0.11113324353373802</v>
      </c>
      <c r="D112" s="55">
        <f t="shared" si="833"/>
        <v>2.4851538796756997e-02</v>
      </c>
    </row>
    <row r="113">
      <c r="A113">
        <f t="shared" si="831"/>
        <v>109</v>
      </c>
      <c r="B113">
        <v>0.22472251974334051</v>
      </c>
      <c r="C113" s="55">
        <f t="shared" si="832"/>
        <v>0.21110069427601</v>
      </c>
      <c r="D113" s="55">
        <f t="shared" si="833"/>
        <v>0.21995945911892303</v>
      </c>
    </row>
    <row r="114">
      <c r="A114">
        <f t="shared" si="831"/>
        <v>110</v>
      </c>
      <c r="B114">
        <v>0.23835817196030887</v>
      </c>
      <c r="C114" s="55">
        <f t="shared" si="832"/>
        <v>0.148469164062973</v>
      </c>
      <c r="D114" s="55">
        <f t="shared" si="833"/>
        <v>0.226877553146833</v>
      </c>
    </row>
    <row r="115">
      <c r="A115">
        <f t="shared" si="831"/>
        <v>111</v>
      </c>
      <c r="B115">
        <v>2.9018813129743858e-03</v>
      </c>
      <c r="C115" s="55">
        <f t="shared" si="832"/>
        <v>-9.2441387471149994e-02</v>
      </c>
      <c r="D115" s="55">
        <f t="shared" si="833"/>
        <v>-1.1566923000344001e-02</v>
      </c>
    </row>
    <row r="116">
      <c r="A116">
        <f t="shared" si="831"/>
        <v>112</v>
      </c>
      <c r="B116">
        <v>-7.0164403849902066e-02</v>
      </c>
      <c r="C116" s="55">
        <f t="shared" si="832"/>
        <v>-7.1325156375092014e-02</v>
      </c>
      <c r="D116" s="55">
        <f t="shared" si="833"/>
        <v>-7.5448388004897005e-02</v>
      </c>
    </row>
    <row r="117">
      <c r="A117">
        <f t="shared" si="831"/>
        <v>113</v>
      </c>
      <c r="B117">
        <v>-0.21069309060190561</v>
      </c>
      <c r="C117" s="55">
        <f t="shared" si="832"/>
        <v>-0.18262732906194501</v>
      </c>
      <c r="D117" s="55">
        <f t="shared" si="833"/>
        <v>-0.20952222408548499</v>
      </c>
    </row>
    <row r="118">
      <c r="A118">
        <f t="shared" si="831"/>
        <v>114</v>
      </c>
      <c r="B118">
        <v>-0.47693066897558534</v>
      </c>
      <c r="C118" s="55">
        <f t="shared" si="832"/>
        <v>-0.392653432734823</v>
      </c>
      <c r="D118" s="55">
        <f t="shared" si="833"/>
        <v>-0.46734128718589407</v>
      </c>
    </row>
    <row r="119">
      <c r="A119">
        <f t="shared" si="831"/>
        <v>115</v>
      </c>
      <c r="B119">
        <v>-1.0820146542971811e-02</v>
      </c>
      <c r="C119" s="55">
        <f t="shared" si="832"/>
        <v>0.17995212104726199</v>
      </c>
      <c r="D119" s="55">
        <f t="shared" si="833"/>
        <v>1.3360160749651002e-02</v>
      </c>
    </row>
    <row r="120">
      <c r="A120">
        <f t="shared" si="831"/>
        <v>116</v>
      </c>
      <c r="B120">
        <v>-0.53806306600499088</v>
      </c>
      <c r="C120" s="55">
        <f t="shared" si="832"/>
        <v>-0.533735007387802</v>
      </c>
      <c r="D120" s="55">
        <f t="shared" si="833"/>
        <v>-0.52897254485730805</v>
      </c>
    </row>
    <row r="121">
      <c r="A121">
        <f t="shared" si="831"/>
        <v>117</v>
      </c>
      <c r="B121">
        <v>-0.37680201240903038</v>
      </c>
      <c r="C121" s="55">
        <f t="shared" si="832"/>
        <v>-0.16157678600703401</v>
      </c>
      <c r="D121" s="55">
        <f t="shared" si="833"/>
        <v>-0.350138284012115</v>
      </c>
    </row>
    <row r="122">
      <c r="A122">
        <f t="shared" si="831"/>
        <v>118</v>
      </c>
      <c r="B122">
        <v>6.0518363345847613e-02</v>
      </c>
      <c r="C122" s="55">
        <f t="shared" si="832"/>
        <v>0.21123916830946002</v>
      </c>
      <c r="D122" s="55">
        <f t="shared" si="833"/>
        <v>8.6426264531887009e-02</v>
      </c>
    </row>
    <row r="123">
      <c r="A123">
        <f t="shared" si="831"/>
        <v>119</v>
      </c>
      <c r="B123">
        <v>0.908568246574603</v>
      </c>
      <c r="C123" s="55">
        <f t="shared" si="832"/>
        <v>0.88436090123626399</v>
      </c>
      <c r="D123" s="55">
        <f t="shared" si="833"/>
        <v>0.91516905199106802</v>
      </c>
    </row>
    <row r="124">
      <c r="A124">
        <f t="shared" si="831"/>
        <v>120</v>
      </c>
      <c r="B124">
        <v>-0.36496444622151897</v>
      </c>
      <c r="C124" s="55">
        <f t="shared" si="832"/>
        <v>-0.72839174485136005</v>
      </c>
      <c r="D124" s="55">
        <f t="shared" si="833"/>
        <v>-0.40216375996062104</v>
      </c>
    </row>
    <row r="125">
      <c r="A125">
        <f t="shared" si="831"/>
        <v>121</v>
      </c>
      <c r="B125">
        <v>-0.46851595528866935</v>
      </c>
      <c r="C125" s="55">
        <f t="shared" si="832"/>
        <v>-0.32253017680006102</v>
      </c>
      <c r="D125" s="55">
        <f t="shared" si="833"/>
        <v>-0.46588846969971698</v>
      </c>
    </row>
    <row r="126">
      <c r="A126">
        <f t="shared" si="831"/>
        <v>122</v>
      </c>
      <c r="B126">
        <v>1.0250626756055023</v>
      </c>
      <c r="C126" s="55">
        <f t="shared" si="832"/>
        <v>1.21246905772097</v>
      </c>
      <c r="D126" s="55">
        <f t="shared" si="833"/>
        <v>1.0463949795784599</v>
      </c>
    </row>
    <row r="127">
      <c r="A127">
        <f t="shared" si="831"/>
        <v>123</v>
      </c>
      <c r="B127">
        <v>-0.12821570689953868</v>
      </c>
      <c r="C127" s="55">
        <f t="shared" si="832"/>
        <v>-0.53824077714173901</v>
      </c>
      <c r="D127" s="55">
        <f t="shared" si="833"/>
        <v>-0.16523501952243699</v>
      </c>
    </row>
    <row r="128">
      <c r="A128">
        <f t="shared" si="831"/>
        <v>124</v>
      </c>
      <c r="B128">
        <v>0.1484634817449306</v>
      </c>
      <c r="C128" s="55">
        <f t="shared" si="832"/>
        <v>0.19974976450474699</v>
      </c>
      <c r="D128" s="55">
        <f t="shared" si="833"/>
        <v>0.14084885725169799</v>
      </c>
    </row>
    <row r="129">
      <c r="A129">
        <f t="shared" si="831"/>
        <v>125</v>
      </c>
      <c r="B129">
        <v>0.79443782802329266</v>
      </c>
      <c r="C129" s="55">
        <f t="shared" si="832"/>
        <v>0.73505243532532105</v>
      </c>
      <c r="D129" s="55">
        <f t="shared" si="833"/>
        <v>0.78526046932233695</v>
      </c>
    </row>
    <row r="130">
      <c r="A130">
        <f t="shared" si="831"/>
        <v>126</v>
      </c>
      <c r="B130">
        <v>-0.38803213955391319</v>
      </c>
      <c r="C130" s="55">
        <f t="shared" si="832"/>
        <v>-0.70580727076323002</v>
      </c>
      <c r="D130" s="55">
        <f t="shared" si="833"/>
        <v>-0.42588746800761601</v>
      </c>
    </row>
    <row r="131">
      <c r="A131">
        <f t="shared" si="831"/>
        <v>127</v>
      </c>
      <c r="B131">
        <v>-1.3998932143015734</v>
      </c>
      <c r="C131" s="55">
        <f t="shared" si="832"/>
        <v>-1.2446803584800099</v>
      </c>
      <c r="D131" s="55">
        <f t="shared" si="833"/>
        <v>-1.3964953812630401</v>
      </c>
    </row>
    <row r="132">
      <c r="A132">
        <f t="shared" si="831"/>
        <v>128</v>
      </c>
      <c r="B132">
        <v>-0.20867478752123328</v>
      </c>
      <c r="C132" s="55">
        <f t="shared" si="832"/>
        <v>0.351282498199395</v>
      </c>
      <c r="D132" s="55">
        <f t="shared" si="833"/>
        <v>-0.14652265938051001</v>
      </c>
    </row>
    <row r="133">
      <c r="A133">
        <f t="shared" si="831"/>
        <v>129</v>
      </c>
      <c r="B133">
        <v>-5.1587365971343523e-02</v>
      </c>
      <c r="C133" s="55">
        <f t="shared" si="832"/>
        <v>3.1882549037149002e-02</v>
      </c>
      <c r="D133" s="55">
        <f t="shared" si="833"/>
        <v>-2.0348010777501004e-02</v>
      </c>
    </row>
    <row r="134">
      <c r="A134">
        <f t="shared" si="831"/>
        <v>130</v>
      </c>
      <c r="B134">
        <v>-2.8380451480331949e-02</v>
      </c>
      <c r="C134" s="55">
        <f t="shared" si="832"/>
        <v>-7.7455050917940001e-03</v>
      </c>
      <c r="D134" s="55">
        <f t="shared" si="833"/>
        <v>-1.4998908753158e-02</v>
      </c>
    </row>
    <row r="135">
      <c r="A135">
        <f t="shared" si="831"/>
        <v>131</v>
      </c>
      <c r="B135">
        <v>-5.0483662879211126e-02</v>
      </c>
      <c r="C135" s="55">
        <f t="shared" si="832"/>
        <v>-3.9131482287077995e-02</v>
      </c>
      <c r="D135" s="55">
        <f t="shared" si="833"/>
        <v>-4.4478105151408001e-02</v>
      </c>
    </row>
    <row r="136">
      <c r="A136">
        <f t="shared" si="831"/>
        <v>132</v>
      </c>
      <c r="B136">
        <v>0.40466650426540046</v>
      </c>
      <c r="C136" s="55">
        <f t="shared" si="832"/>
        <v>0.42485996941708504</v>
      </c>
      <c r="D136" s="55">
        <f t="shared" si="833"/>
        <v>0.40900497237174804</v>
      </c>
    </row>
    <row r="137">
      <c r="A137">
        <f t="shared" si="831"/>
        <v>133</v>
      </c>
      <c r="B137">
        <v>0.52315476793853832</v>
      </c>
      <c r="C137" s="55">
        <f t="shared" si="832"/>
        <v>0.36128816623237803</v>
      </c>
      <c r="D137" s="55">
        <f t="shared" si="833"/>
        <v>0.50708512872453804</v>
      </c>
    </row>
    <row r="138">
      <c r="A138">
        <f t="shared" si="831"/>
        <v>134</v>
      </c>
      <c r="B138">
        <v>0.46996811860365117</v>
      </c>
      <c r="C138" s="55">
        <f t="shared" si="832"/>
        <v>0.26070621142823602</v>
      </c>
      <c r="D138" s="55">
        <f t="shared" si="833"/>
        <v>0.44146555785932795</v>
      </c>
    </row>
    <row r="139">
      <c r="A139">
        <f t="shared" si="831"/>
        <v>135</v>
      </c>
      <c r="B139">
        <v>-0.39598910612523192</v>
      </c>
      <c r="C139" s="55">
        <f t="shared" si="832"/>
        <v>-0.58397635356669197</v>
      </c>
      <c r="D139" s="55">
        <f t="shared" si="833"/>
        <v>-0.42660824870586395</v>
      </c>
    </row>
    <row r="140">
      <c r="A140">
        <f t="shared" si="831"/>
        <v>136</v>
      </c>
      <c r="B140">
        <v>-0.1750562864439289</v>
      </c>
      <c r="C140" s="55">
        <f t="shared" si="832"/>
        <v>-1.6660643993835999e-02</v>
      </c>
      <c r="D140" s="55">
        <f t="shared" si="833"/>
        <v>-0.16873260163958001</v>
      </c>
    </row>
    <row r="141">
      <c r="A141">
        <f t="shared" si="831"/>
        <v>137</v>
      </c>
      <c r="B141">
        <v>-0.14587797149207962</v>
      </c>
      <c r="C141" s="55">
        <f t="shared" si="832"/>
        <v>-7.5855456914507999e-02</v>
      </c>
      <c r="D141" s="55">
        <f t="shared" si="833"/>
        <v>-0.136003138371277</v>
      </c>
    </row>
    <row r="142">
      <c r="A142">
        <f t="shared" si="831"/>
        <v>138</v>
      </c>
      <c r="B142">
        <v>7.4800791128076916e-02</v>
      </c>
      <c r="C142" s="55">
        <f t="shared" si="832"/>
        <v>0.133151979724909</v>
      </c>
      <c r="D142" s="55">
        <f t="shared" si="833"/>
        <v>8.4671286815604999e-02</v>
      </c>
    </row>
    <row r="143">
      <c r="A143">
        <f t="shared" si="831"/>
        <v>139</v>
      </c>
      <c r="B143">
        <v>-4.2638486055452611e-02</v>
      </c>
      <c r="C143" s="55">
        <f t="shared" si="832"/>
        <v>-7.2558802506684006e-02</v>
      </c>
      <c r="D143" s="55">
        <f t="shared" si="833"/>
        <v>-4.2376244195882998e-02</v>
      </c>
    </row>
    <row r="144">
      <c r="A144">
        <f t="shared" si="831"/>
        <v>140</v>
      </c>
      <c r="B144">
        <v>-0.7181893143128113</v>
      </c>
      <c r="C144" s="55">
        <f t="shared" si="832"/>
        <v>-0.70113391989063001</v>
      </c>
      <c r="D144" s="55">
        <f t="shared" si="833"/>
        <v>-0.71623967190571902</v>
      </c>
    </row>
    <row r="145">
      <c r="A145">
        <f t="shared" si="831"/>
        <v>141</v>
      </c>
      <c r="B145">
        <v>0.24957308195370337</v>
      </c>
      <c r="C145" s="55">
        <f t="shared" si="832"/>
        <v>0.53684880767882703</v>
      </c>
      <c r="D145" s="55">
        <f t="shared" si="833"/>
        <v>0.28153267307369001</v>
      </c>
    </row>
    <row r="146">
      <c r="A146">
        <f t="shared" si="831"/>
        <v>142</v>
      </c>
      <c r="B146">
        <v>-0.91751252484688306</v>
      </c>
      <c r="C146" s="55">
        <f t="shared" si="832"/>
        <v>-1.0173417576283601</v>
      </c>
      <c r="D146" s="55">
        <f t="shared" si="833"/>
        <v>-0.91698452153311094</v>
      </c>
    </row>
    <row r="147">
      <c r="A147">
        <f t="shared" si="831"/>
        <v>143</v>
      </c>
      <c r="B147">
        <v>2.5075431761081166e-02</v>
      </c>
      <c r="C147" s="55">
        <f t="shared" si="832"/>
        <v>0.39208044169983403</v>
      </c>
      <c r="D147" s="55">
        <f t="shared" si="833"/>
        <v>6.5205300997780005e-02</v>
      </c>
    </row>
    <row r="148">
      <c r="A148">
        <f t="shared" si="831"/>
        <v>144</v>
      </c>
      <c r="B148">
        <v>0.25095282799290247</v>
      </c>
      <c r="C148" s="55">
        <f t="shared" si="832"/>
        <v>0.24092265528847098</v>
      </c>
      <c r="D148" s="55">
        <f t="shared" si="833"/>
        <v>0.264166223132489</v>
      </c>
    </row>
    <row r="149">
      <c r="A149">
        <f t="shared" si="831"/>
        <v>145</v>
      </c>
      <c r="B149">
        <v>-0.13079037606187624</v>
      </c>
      <c r="C149" s="55">
        <f t="shared" si="832"/>
        <v>-0.23117150725903701</v>
      </c>
      <c r="D149" s="55">
        <f t="shared" si="833"/>
        <v>-0.13700484541528599</v>
      </c>
    </row>
    <row r="150">
      <c r="A150">
        <f t="shared" si="831"/>
        <v>146</v>
      </c>
      <c r="B150">
        <v>3.9347252655179736e-02</v>
      </c>
      <c r="C150" s="55">
        <f t="shared" si="832"/>
        <v>9.1663403079929998e-02</v>
      </c>
      <c r="D150" s="55">
        <f t="shared" si="833"/>
        <v>4.2825634207766999e-02</v>
      </c>
    </row>
    <row r="151">
      <c r="A151">
        <f t="shared" si="831"/>
        <v>147</v>
      </c>
      <c r="B151">
        <v>-0.24956702482861565</v>
      </c>
      <c r="C151" s="55">
        <f t="shared" si="832"/>
        <v>-0.26530592589068802</v>
      </c>
      <c r="D151" s="55">
        <f t="shared" si="833"/>
        <v>-0.25003998096076302</v>
      </c>
    </row>
    <row r="152">
      <c r="A152">
        <f t="shared" si="831"/>
        <v>148</v>
      </c>
      <c r="B152">
        <v>-4.3466069434543737e-02</v>
      </c>
      <c r="C152" s="55">
        <f t="shared" si="832"/>
        <v>5.6360740496901991e-02</v>
      </c>
      <c r="D152" s="55">
        <f t="shared" si="833"/>
        <v>-3.2770375719803999e-02</v>
      </c>
    </row>
    <row r="153">
      <c r="A153">
        <f t="shared" si="831"/>
        <v>149</v>
      </c>
      <c r="B153">
        <v>-9.4167699304106622e-02</v>
      </c>
      <c r="C153" s="55">
        <f t="shared" si="832"/>
        <v>-7.6781271530289005e-02</v>
      </c>
      <c r="D153" s="55">
        <f t="shared" si="833"/>
        <v>-8.8462844035309005e-02</v>
      </c>
    </row>
    <row r="154">
      <c r="A154">
        <f t="shared" si="831"/>
        <v>150</v>
      </c>
      <c r="B154">
        <v>1.0789945199254356</v>
      </c>
      <c r="C154" s="55">
        <f t="shared" si="832"/>
        <v>1.1166615996470799</v>
      </c>
      <c r="D154" s="55">
        <f t="shared" si="833"/>
        <v>1.0851274745752599</v>
      </c>
    </row>
    <row r="155">
      <c r="A155">
        <f t="shared" si="831"/>
        <v>151</v>
      </c>
      <c r="B155">
        <v>0.19457012465328444</v>
      </c>
      <c r="C155" s="55">
        <f t="shared" si="832"/>
        <v>-0.237027683316892</v>
      </c>
      <c r="D155" s="55">
        <f t="shared" si="833"/>
        <v>0.14978494830575001</v>
      </c>
    </row>
    <row r="156">
      <c r="A156">
        <f t="shared" si="831"/>
        <v>152</v>
      </c>
      <c r="B156">
        <v>-0.93304167847339625</v>
      </c>
      <c r="C156" s="55">
        <f t="shared" si="832"/>
        <v>-1.0108697283347099</v>
      </c>
      <c r="D156" s="55">
        <f t="shared" si="833"/>
        <v>-0.95747626868215896</v>
      </c>
    </row>
    <row r="157">
      <c r="A157">
        <f t="shared" si="831"/>
        <v>153</v>
      </c>
      <c r="B157">
        <v>-0.16706237349180128</v>
      </c>
      <c r="C157" s="55">
        <f t="shared" si="832"/>
        <v>0.20615429789755799</v>
      </c>
      <c r="D157" s="55">
        <f t="shared" si="833"/>
        <v>-0.135154832949158</v>
      </c>
    </row>
    <row r="158">
      <c r="A158">
        <f t="shared" si="831"/>
        <v>154</v>
      </c>
      <c r="B158">
        <v>0.25997599923618075</v>
      </c>
      <c r="C158" s="55">
        <f t="shared" si="832"/>
        <v>0.32680094863290099</v>
      </c>
      <c r="D158" s="55">
        <f t="shared" si="833"/>
        <v>0.27862264900036599</v>
      </c>
    </row>
    <row r="159">
      <c r="A159">
        <f t="shared" si="831"/>
        <v>155</v>
      </c>
      <c r="B159">
        <v>-0.66600962106369432</v>
      </c>
      <c r="C159" s="55">
        <f t="shared" si="832"/>
        <v>-0.77000002075816598</v>
      </c>
      <c r="D159" s="55">
        <f t="shared" si="833"/>
        <v>-0.67068011354478696</v>
      </c>
    </row>
    <row r="160">
      <c r="A160">
        <f t="shared" si="831"/>
        <v>156</v>
      </c>
      <c r="B160">
        <v>0.11797693608631241</v>
      </c>
      <c r="C160" s="55">
        <f t="shared" si="832"/>
        <v>0.38438078451178997</v>
      </c>
      <c r="D160" s="55">
        <f t="shared" si="833"/>
        <v>0.14530514982769299</v>
      </c>
    </row>
    <row r="161">
      <c r="A161">
        <f t="shared" si="831"/>
        <v>157</v>
      </c>
      <c r="B161">
        <v>-0.38200653711381494</v>
      </c>
      <c r="C161" s="55">
        <f t="shared" si="832"/>
        <v>-0.42919731154834001</v>
      </c>
      <c r="D161" s="55">
        <f t="shared" si="833"/>
        <v>-0.37740075426812503</v>
      </c>
    </row>
    <row r="162">
      <c r="A162">
        <f t="shared" si="831"/>
        <v>158</v>
      </c>
      <c r="B162">
        <v>0.65451858323512324</v>
      </c>
      <c r="C162" s="55">
        <f t="shared" si="832"/>
        <v>0.80732119808064895</v>
      </c>
      <c r="D162" s="55">
        <f t="shared" si="833"/>
        <v>0.67279011085334905</v>
      </c>
    </row>
    <row r="163">
      <c r="A163">
        <f t="shared" si="831"/>
        <v>159</v>
      </c>
      <c r="B163">
        <v>0.31230951248154232</v>
      </c>
      <c r="C163" s="55">
        <f t="shared" si="832"/>
        <v>5.0502079187492999e-02</v>
      </c>
      <c r="D163" s="55">
        <f t="shared" si="833"/>
        <v>0.29032985924691701</v>
      </c>
    </row>
    <row r="164">
      <c r="A164">
        <f t="shared" si="831"/>
        <v>160</v>
      </c>
      <c r="B164">
        <v>-0.11414619211828736</v>
      </c>
      <c r="C164" s="55">
        <f t="shared" si="832"/>
        <v>-0.23906999711090399</v>
      </c>
      <c r="D164" s="55">
        <f t="shared" si="833"/>
        <v>-0.13557685042978301</v>
      </c>
    </row>
    <row r="165">
      <c r="A165">
        <f t="shared" ref="A165:A204" si="834">A164+1</f>
        <v>161</v>
      </c>
      <c r="B165">
        <v>-0.45830678053502522</v>
      </c>
      <c r="C165" s="55">
        <f t="shared" ref="C165:C204" si="835">B165-0.4*B164</f>
        <v>-0.41264830368770999</v>
      </c>
      <c r="D165" s="55">
        <f t="shared" ref="D165:D204" si="836">C165-$G$3*D164</f>
        <v>-0.46097703881846608</v>
      </c>
    </row>
    <row r="166">
      <c r="A166">
        <f t="shared" si="834"/>
        <v>162</v>
      </c>
      <c r="B166">
        <v>6.3411234207975328e-02</v>
      </c>
      <c r="C166" s="55">
        <f t="shared" si="835"/>
        <v>0.24673394642198501</v>
      </c>
      <c r="D166" s="55">
        <f t="shared" si="836"/>
        <v>8.2410633557034985e-02</v>
      </c>
    </row>
    <row r="167">
      <c r="A167">
        <f t="shared" si="834"/>
        <v>163</v>
      </c>
      <c r="B167">
        <v>0.50173549649751492</v>
      </c>
      <c r="C167" s="55">
        <f t="shared" si="835"/>
        <v>0.47637100281432498</v>
      </c>
      <c r="D167" s="55">
        <f t="shared" si="836"/>
        <v>0.505747711806385</v>
      </c>
    </row>
    <row r="168">
      <c r="A168">
        <f t="shared" si="834"/>
        <v>164</v>
      </c>
      <c r="B168">
        <v>-4.7878140516434742e-02</v>
      </c>
      <c r="C168" s="55">
        <f t="shared" si="835"/>
        <v>-0.24857233911544099</v>
      </c>
      <c r="D168" s="55">
        <f t="shared" si="836"/>
        <v>-6.8289738292408003e-02</v>
      </c>
    </row>
    <row r="169">
      <c r="A169">
        <f t="shared" si="834"/>
        <v>165</v>
      </c>
      <c r="B169">
        <v>0.14014491224633679</v>
      </c>
      <c r="C169" s="55">
        <f t="shared" si="835"/>
        <v>0.159296168452911</v>
      </c>
      <c r="D169" s="55">
        <f t="shared" si="836"/>
        <v>0.134953099089519</v>
      </c>
    </row>
    <row r="170">
      <c r="A170">
        <f t="shared" si="834"/>
        <v>166</v>
      </c>
      <c r="B170">
        <v>-0.22094875069833905</v>
      </c>
      <c r="C170" s="55">
        <f t="shared" si="835"/>
        <v>-0.27700671559687401</v>
      </c>
      <c r="D170" s="55">
        <f t="shared" si="836"/>
        <v>-0.22890032752032</v>
      </c>
    </row>
    <row r="171">
      <c r="A171">
        <f t="shared" si="834"/>
        <v>167</v>
      </c>
      <c r="B171">
        <v>0.60190831699301117</v>
      </c>
      <c r="C171" s="55">
        <f t="shared" si="835"/>
        <v>0.690287817272347</v>
      </c>
      <c r="D171" s="55">
        <f t="shared" si="836"/>
        <v>0.60869229956409199</v>
      </c>
    </row>
    <row r="172">
      <c r="A172">
        <f t="shared" si="834"/>
        <v>168</v>
      </c>
      <c r="B172">
        <v>0.57112113782875606</v>
      </c>
      <c r="C172" s="55">
        <f t="shared" si="835"/>
        <v>0.33035781103155198</v>
      </c>
      <c r="D172" s="55">
        <f t="shared" si="836"/>
        <v>0.54733680728725398</v>
      </c>
    </row>
    <row r="173">
      <c r="A173">
        <f t="shared" si="834"/>
        <v>169</v>
      </c>
      <c r="B173">
        <v>0.42935318255318633</v>
      </c>
      <c r="C173" s="55">
        <f t="shared" si="835"/>
        <v>0.20090472742168403</v>
      </c>
      <c r="D173" s="55">
        <f t="shared" si="836"/>
        <v>0.39601248735890998</v>
      </c>
    </row>
    <row r="174">
      <c r="A174">
        <f t="shared" si="834"/>
        <v>170</v>
      </c>
      <c r="B174">
        <v>3.2284282684139576e-02</v>
      </c>
      <c r="C174" s="55">
        <f t="shared" si="835"/>
        <v>-0.13945699033713399</v>
      </c>
      <c r="D174" s="55">
        <f t="shared" si="836"/>
        <v>1.7085740595159998e-03</v>
      </c>
    </row>
    <row r="175">
      <c r="A175">
        <f t="shared" si="834"/>
        <v>171</v>
      </c>
      <c r="B175">
        <v>0.13032847091512376</v>
      </c>
      <c r="C175" s="55">
        <f t="shared" si="835"/>
        <v>0.117414757841468</v>
      </c>
      <c r="D175" s="55">
        <f t="shared" si="836"/>
        <v>0.118023808891938</v>
      </c>
    </row>
    <row r="176">
      <c r="A176">
        <f t="shared" si="834"/>
        <v>172</v>
      </c>
      <c r="B176">
        <v>0.55577904583932602</v>
      </c>
      <c r="C176" s="55">
        <f t="shared" si="835"/>
        <v>0.503647657473276</v>
      </c>
      <c r="D176" s="55">
        <f t="shared" si="836"/>
        <v>0.54571930452053896</v>
      </c>
    </row>
    <row r="177">
      <c r="A177">
        <f t="shared" si="834"/>
        <v>173</v>
      </c>
      <c r="B177">
        <v>-0.25846732041896892</v>
      </c>
      <c r="C177" s="55">
        <f t="shared" si="835"/>
        <v>-0.48077893875469896</v>
      </c>
      <c r="D177" s="55">
        <f t="shared" si="836"/>
        <v>-0.286247765915772</v>
      </c>
    </row>
    <row r="178">
      <c r="A178">
        <f t="shared" si="834"/>
        <v>174</v>
      </c>
      <c r="B178">
        <v>0.27306064744471714</v>
      </c>
      <c r="C178" s="55">
        <f t="shared" si="835"/>
        <v>0.37644757561230502</v>
      </c>
      <c r="D178" s="55">
        <f t="shared" si="836"/>
        <v>0.274409562361077</v>
      </c>
    </row>
    <row r="179">
      <c r="A179">
        <f t="shared" si="834"/>
        <v>175</v>
      </c>
      <c r="B179">
        <v>-0.80712998639146638</v>
      </c>
      <c r="C179" s="55">
        <f t="shared" si="835"/>
        <v>-0.91635424536935306</v>
      </c>
      <c r="D179" s="55">
        <f t="shared" si="836"/>
        <v>-0.81853616643733296</v>
      </c>
    </row>
    <row r="180">
      <c r="A180">
        <f t="shared" si="834"/>
        <v>176</v>
      </c>
      <c r="B180">
        <v>-9.080471442227743e-02</v>
      </c>
      <c r="C180" s="55">
        <f t="shared" si="835"/>
        <v>0.23204728013430903</v>
      </c>
      <c r="D180" s="55">
        <f t="shared" si="836"/>
        <v>-5.9734225759149009e-02</v>
      </c>
    </row>
    <row r="181">
      <c r="A181">
        <f t="shared" si="834"/>
        <v>177</v>
      </c>
      <c r="B181">
        <v>0.78479208772105424</v>
      </c>
      <c r="C181" s="55">
        <f t="shared" si="835"/>
        <v>0.82111397348996495</v>
      </c>
      <c r="D181" s="55">
        <f t="shared" si="836"/>
        <v>0.79982066592452805</v>
      </c>
    </row>
    <row r="182">
      <c r="A182">
        <f t="shared" si="834"/>
        <v>178</v>
      </c>
      <c r="B182">
        <v>-0.13451947923937232</v>
      </c>
      <c r="C182" s="55">
        <f t="shared" si="835"/>
        <v>-0.44843631432779396</v>
      </c>
      <c r="D182" s="55">
        <f t="shared" si="836"/>
        <v>-0.16332627531275701</v>
      </c>
    </row>
    <row r="183">
      <c r="A183">
        <f t="shared" si="834"/>
        <v>179</v>
      </c>
      <c r="B183">
        <v>0.12925003906509253</v>
      </c>
      <c r="C183" s="55">
        <f t="shared" si="835"/>
        <v>0.18305783076084201</v>
      </c>
      <c r="D183" s="55">
        <f t="shared" si="836"/>
        <v>0.124837328702703</v>
      </c>
    </row>
    <row r="184">
      <c r="A184">
        <f t="shared" si="834"/>
        <v>180</v>
      </c>
      <c r="B184">
        <v>-0.39138319355115314</v>
      </c>
      <c r="C184" s="55">
        <f t="shared" si="835"/>
        <v>-0.44308320917719002</v>
      </c>
      <c r="D184" s="55">
        <f t="shared" si="836"/>
        <v>-0.39858276404825799</v>
      </c>
    </row>
    <row r="185">
      <c r="A185">
        <f t="shared" si="834"/>
        <v>181</v>
      </c>
      <c r="B185">
        <v>0.99268646809453442</v>
      </c>
      <c r="C185" s="55">
        <f t="shared" si="835"/>
        <v>1.1492397455150001</v>
      </c>
      <c r="D185" s="55">
        <f t="shared" si="836"/>
        <v>1.0071579611225401</v>
      </c>
    </row>
    <row r="186">
      <c r="A186">
        <f t="shared" si="834"/>
        <v>182</v>
      </c>
      <c r="B186">
        <v>1.1045485291507553</v>
      </c>
      <c r="C186" s="55">
        <f t="shared" si="835"/>
        <v>0.70747394191294599</v>
      </c>
      <c r="D186" s="55">
        <f t="shared" si="836"/>
        <v>1.0664929793343301</v>
      </c>
    </row>
    <row r="187">
      <c r="A187">
        <f t="shared" si="834"/>
        <v>183</v>
      </c>
      <c r="B187">
        <v>-0.34636077127091497</v>
      </c>
      <c r="C187" s="55">
        <f t="shared" si="835"/>
        <v>-0.78818018293121905</v>
      </c>
      <c r="D187" s="55">
        <f t="shared" si="836"/>
        <v>-0.40801014244370998</v>
      </c>
    </row>
    <row r="188">
      <c r="A188">
        <f t="shared" si="834"/>
        <v>184</v>
      </c>
      <c r="B188">
        <v>-4.285385940483985e-02</v>
      </c>
      <c r="C188" s="55">
        <f t="shared" si="835"/>
        <v>9.5690449103526004e-02</v>
      </c>
      <c r="D188" s="55">
        <f t="shared" si="836"/>
        <v>-4.9751888893818999e-02</v>
      </c>
    </row>
    <row r="189">
      <c r="A189">
        <f t="shared" si="834"/>
        <v>185</v>
      </c>
      <c r="B189">
        <v>0.82486687850577023</v>
      </c>
      <c r="C189" s="55">
        <f t="shared" si="835"/>
        <v>0.842008422267706</v>
      </c>
      <c r="D189" s="55">
        <f t="shared" si="836"/>
        <v>0.8242734929417781</v>
      </c>
    </row>
    <row r="190">
      <c r="A190">
        <f t="shared" si="834"/>
        <v>186</v>
      </c>
      <c r="B190">
        <v>0.26146176427923484</v>
      </c>
      <c r="C190" s="55">
        <f t="shared" si="835"/>
        <v>-6.8484987123072993e-02</v>
      </c>
      <c r="D190" s="55">
        <f t="shared" si="836"/>
        <v>0.225341688960672</v>
      </c>
    </row>
    <row r="191">
      <c r="A191">
        <f t="shared" si="834"/>
        <v>187</v>
      </c>
      <c r="B191">
        <v>-0.35460608851308534</v>
      </c>
      <c r="C191" s="55">
        <f t="shared" si="835"/>
        <v>-0.45919079422477899</v>
      </c>
      <c r="D191" s="55">
        <f t="shared" si="836"/>
        <v>-0.37886381535505098</v>
      </c>
    </row>
    <row r="192">
      <c r="A192">
        <f t="shared" si="834"/>
        <v>188</v>
      </c>
      <c r="B192">
        <v>-0.26876158315295717</v>
      </c>
      <c r="C192" s="55">
        <f t="shared" si="835"/>
        <v>-0.126919147747723</v>
      </c>
      <c r="D192" s="55">
        <f t="shared" si="836"/>
        <v>-0.26197176864043797</v>
      </c>
    </row>
    <row r="193">
      <c r="A193">
        <f t="shared" si="834"/>
        <v>189</v>
      </c>
      <c r="B193">
        <v>0.25166944374552108</v>
      </c>
      <c r="C193" s="55">
        <f t="shared" si="835"/>
        <v>0.35917407700670401</v>
      </c>
      <c r="D193" s="55">
        <f t="shared" si="836"/>
        <v>0.26578966677572202</v>
      </c>
    </row>
    <row r="194">
      <c r="A194">
        <f t="shared" si="834"/>
        <v>190</v>
      </c>
      <c r="B194">
        <v>0.43286071337948046</v>
      </c>
      <c r="C194" s="55">
        <f t="shared" si="835"/>
        <v>0.33219293588127302</v>
      </c>
      <c r="D194" s="55">
        <f t="shared" si="836"/>
        <v>0.42693830255246901</v>
      </c>
    </row>
    <row r="195">
      <c r="A195">
        <f t="shared" si="834"/>
        <v>191</v>
      </c>
      <c r="B195">
        <v>0.45413848023264791</v>
      </c>
      <c r="C195" s="55">
        <f t="shared" si="835"/>
        <v>0.28099419488085597</v>
      </c>
      <c r="D195" s="55">
        <f t="shared" si="836"/>
        <v>0.43318380598204503</v>
      </c>
    </row>
    <row r="196">
      <c r="A196">
        <f t="shared" si="834"/>
        <v>192</v>
      </c>
      <c r="B196">
        <v>-1.3324825042722805e-02</v>
      </c>
      <c r="C196" s="55">
        <f t="shared" si="835"/>
        <v>-0.19498021713578201</v>
      </c>
      <c r="D196" s="55">
        <f t="shared" si="836"/>
        <v>-4.0564287307986009e-02</v>
      </c>
    </row>
    <row r="197">
      <c r="A197">
        <f t="shared" si="834"/>
        <v>193</v>
      </c>
      <c r="B197">
        <v>-0.24539323159004911</v>
      </c>
      <c r="C197" s="55">
        <f t="shared" si="835"/>
        <v>-0.24006330157295999</v>
      </c>
      <c r="D197" s="55">
        <f t="shared" si="836"/>
        <v>-0.25452314992362601</v>
      </c>
    </row>
    <row r="198">
      <c r="A198">
        <f t="shared" si="834"/>
        <v>194</v>
      </c>
      <c r="B198">
        <v>3.6119098172010637e-02</v>
      </c>
      <c r="C198" s="55">
        <f t="shared" si="835"/>
        <v>0.134276390808031</v>
      </c>
      <c r="D198" s="55">
        <f t="shared" si="836"/>
        <v>4.3547170750840997e-02</v>
      </c>
    </row>
    <row r="199">
      <c r="A199">
        <f t="shared" si="834"/>
        <v>195</v>
      </c>
      <c r="B199">
        <v>0.30217869836325728</v>
      </c>
      <c r="C199" s="55">
        <f t="shared" si="835"/>
        <v>0.28773105909445301</v>
      </c>
      <c r="D199" s="55">
        <f t="shared" si="836"/>
        <v>0.30325420832118</v>
      </c>
    </row>
    <row r="200">
      <c r="A200">
        <f t="shared" si="834"/>
        <v>196</v>
      </c>
      <c r="B200">
        <v>0.23649227964160363</v>
      </c>
      <c r="C200" s="55">
        <f t="shared" si="835"/>
        <v>0.11562080029630099</v>
      </c>
      <c r="D200" s="55">
        <f t="shared" si="836"/>
        <v>0.22372105682816298</v>
      </c>
    </row>
    <row r="201">
      <c r="A201">
        <f t="shared" si="834"/>
        <v>197</v>
      </c>
      <c r="B201">
        <v>-0.70478339276739954</v>
      </c>
      <c r="C201" s="55">
        <f t="shared" si="835"/>
        <v>-0.79938030462404197</v>
      </c>
      <c r="D201" s="55">
        <f t="shared" si="836"/>
        <v>-0.71963102836967996</v>
      </c>
    </row>
    <row r="202">
      <c r="A202">
        <f t="shared" si="834"/>
        <v>198</v>
      </c>
      <c r="B202">
        <v>-0.30303035315709964</v>
      </c>
      <c r="C202" s="55">
        <f t="shared" si="835"/>
        <v>-2.1116996050139999e-02</v>
      </c>
      <c r="D202" s="55">
        <f t="shared" si="836"/>
        <v>-0.27764203887051497</v>
      </c>
    </row>
    <row r="203">
      <c r="A203">
        <f t="shared" si="834"/>
        <v>199</v>
      </c>
      <c r="B203">
        <v>4.980264955195015e-02</v>
      </c>
      <c r="C203" s="55">
        <f t="shared" si="835"/>
        <v>0.17101479081479001</v>
      </c>
      <c r="D203" s="55">
        <f t="shared" si="836"/>
        <v>7.2044439200924001e-02</v>
      </c>
    </row>
    <row r="204">
      <c r="A204">
        <f t="shared" si="834"/>
        <v>200</v>
      </c>
      <c r="B204" s="14">
        <v>-1.0568000762886942</v>
      </c>
      <c r="C204" s="67">
        <f t="shared" si="835"/>
        <v>-1.07672113610947</v>
      </c>
      <c r="D204" s="67">
        <f t="shared" si="836"/>
        <v>-1.05103963806059</v>
      </c>
    </row>
    <row r="206">
      <c r="B206" s="20" t="s">
        <v>561</v>
      </c>
    </row>
    <row r="207">
      <c r="B207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7232139999999996"/>
    <col customWidth="1" min="5" max="5" style="15" width="4"/>
    <col customWidth="1" min="6" max="6" width="7.8125"/>
    <col customWidth="1" min="8" max="8" width="2.2678569999999998"/>
    <col customWidth="1" min="9" max="9" width="28.544643000000001"/>
    <col customWidth="1" min="10" max="10" width="4.8125"/>
  </cols>
  <sheetData>
    <row r="1">
      <c r="A1" s="1" t="s">
        <v>563</v>
      </c>
    </row>
    <row r="2">
      <c r="A2" s="1"/>
    </row>
    <row r="3" s="55" customFormat="1" ht="15" customHeight="1">
      <c r="B3" s="58" t="s">
        <v>342</v>
      </c>
      <c r="C3" s="58" t="s">
        <v>343</v>
      </c>
      <c r="D3" s="58" t="s">
        <v>342</v>
      </c>
      <c r="E3" s="57"/>
      <c r="F3" s="57" t="s">
        <v>555</v>
      </c>
      <c r="G3" s="69">
        <v>-0.31991017151129603</v>
      </c>
      <c r="K3" s="58" t="s">
        <v>291</v>
      </c>
      <c r="L3" s="58" t="s">
        <v>292</v>
      </c>
    </row>
    <row r="4" s="55" customFormat="1" ht="15" customHeight="1">
      <c r="A4" s="55">
        <v>-1</v>
      </c>
      <c r="D4" s="55">
        <v>0</v>
      </c>
      <c r="F4" s="57" t="s">
        <v>564</v>
      </c>
      <c r="G4" s="71">
        <v>-6.5957065622871444e-02</v>
      </c>
      <c r="K4" s="57">
        <v>1</v>
      </c>
      <c r="L4" s="55" t="e">
        <v>#NAME?</v>
      </c>
    </row>
    <row r="5" s="55" customFormat="1" ht="15" customHeight="1">
      <c r="A5" s="55">
        <v>0</v>
      </c>
      <c r="D5" s="55">
        <v>0</v>
      </c>
      <c r="F5" s="57" t="s">
        <v>457</v>
      </c>
      <c r="G5" s="72">
        <f>VARP(C6:C205)/(1+G3^2+G4^2)</f>
        <v>0.19486088863642601</v>
      </c>
      <c r="I5" s="55" t="e">
        <v>#NAME?</v>
      </c>
      <c r="K5" s="15">
        <v>2</v>
      </c>
      <c r="L5" s="55" t="e">
        <v>#NAME?</v>
      </c>
    </row>
    <row r="6" s="55" customFormat="1" ht="15" customHeight="1">
      <c r="A6" s="55">
        <v>1</v>
      </c>
      <c r="B6" s="55">
        <v>-0.51207912635870179</v>
      </c>
      <c r="C6" s="55">
        <f>B6</f>
        <v>-0.51207912635870201</v>
      </c>
      <c r="D6" s="55">
        <f t="shared" ref="D6:D9" si="837">C6-$G$3*D5-G$4*D4</f>
        <v>-0.51207912635870201</v>
      </c>
      <c r="E6" s="57"/>
      <c r="I6" t="e">
        <v>#NAME?</v>
      </c>
      <c r="K6" s="15">
        <v>3</v>
      </c>
      <c r="L6" s="55" t="e">
        <v>#NAME?</v>
      </c>
    </row>
    <row r="7" s="55" customFormat="1" ht="15" customHeight="1">
      <c r="A7" s="55">
        <f t="shared" ref="A7:A10" si="838">A6+1</f>
        <v>2</v>
      </c>
      <c r="B7" s="55">
        <v>-0.36334374693531363</v>
      </c>
      <c r="C7" s="55">
        <f t="shared" ref="C7:C9" si="839">B7-0.4*B6</f>
        <v>-0.158512096391833</v>
      </c>
      <c r="D7" s="55">
        <f t="shared" si="837"/>
        <v>-0.32233141753259997</v>
      </c>
      <c r="E7" s="15"/>
      <c r="F7" s="15" t="s">
        <v>464</v>
      </c>
      <c r="G7" s="18">
        <f>SUMSQ(D6:D205)</f>
        <v>38.9653322372627</v>
      </c>
      <c r="I7" t="e">
        <v>#NAME?</v>
      </c>
      <c r="K7" s="15">
        <v>4</v>
      </c>
      <c r="L7" s="55" t="e">
        <v>#NAME?</v>
      </c>
    </row>
    <row r="8" s="55" customFormat="1" ht="15" customHeight="1">
      <c r="A8" s="55">
        <f t="shared" si="838"/>
        <v>3</v>
      </c>
      <c r="B8" s="55">
        <v>0.11192767204794296</v>
      </c>
      <c r="C8" s="55">
        <f t="shared" si="839"/>
        <v>0.25726517082206901</v>
      </c>
      <c r="D8" s="55">
        <f t="shared" si="837"/>
        <v>0.12037283521439299</v>
      </c>
      <c r="E8" s="15"/>
      <c r="K8" s="15">
        <v>5</v>
      </c>
      <c r="L8" s="55" t="e">
        <v>#NAME?</v>
      </c>
    </row>
    <row r="9" s="55" customFormat="1" ht="15" customHeight="1">
      <c r="A9" s="55">
        <f t="shared" si="838"/>
        <v>4</v>
      </c>
      <c r="B9" s="55">
        <v>2.6947470072676359e-02</v>
      </c>
      <c r="C9" s="55">
        <f t="shared" si="839"/>
        <v>-1.7823598746500999e-02</v>
      </c>
      <c r="D9" s="55">
        <f t="shared" si="837"/>
        <v>-5.7513884627500005e-04</v>
      </c>
      <c r="E9" s="15"/>
      <c r="K9" s="15">
        <v>6</v>
      </c>
      <c r="L9" s="55" t="e">
        <v>#NAME?</v>
      </c>
    </row>
    <row r="10" s="55" customFormat="1" ht="15" customHeight="1">
      <c r="A10" s="55">
        <f t="shared" si="838"/>
        <v>5</v>
      </c>
      <c r="B10" s="55">
        <v>-1.6753415454899442e-02</v>
      </c>
      <c r="C10" s="55">
        <f>B10-0.4*B9</f>
        <v>-2.7532403483969004e-02</v>
      </c>
      <c r="D10" s="55">
        <f>C10-$G$3*D9-G$4*D8</f>
        <v>-1.9776957259477e-02</v>
      </c>
      <c r="E10" s="15"/>
      <c r="K10" s="15">
        <v>7</v>
      </c>
      <c r="L10" s="55" t="e">
        <v>#NAME?</v>
      </c>
    </row>
    <row r="11" s="55" customFormat="1" ht="15" customHeight="1">
      <c r="A11" s="55">
        <f t="shared" ref="A11:A74" si="840">A10+1</f>
        <v>6</v>
      </c>
      <c r="B11" s="55">
        <v>8.1914358993839198e-02</v>
      </c>
      <c r="C11" s="55">
        <f t="shared" ref="C11:C74" si="841">B11-0.4*B10</f>
        <v>8.8615725175799021e-02</v>
      </c>
      <c r="D11" s="55">
        <f>C11-$G$3*D10-G$4*D9</f>
        <v>8.2250940916322013e-02</v>
      </c>
      <c r="E11" s="15"/>
      <c r="K11" s="15">
        <v>8</v>
      </c>
      <c r="L11" s="55" t="e">
        <v>#NAME?</v>
      </c>
    </row>
    <row r="12" s="55" customFormat="1" ht="15" customHeight="1">
      <c r="A12" s="55">
        <f t="shared" si="840"/>
        <v>7</v>
      </c>
      <c r="B12" s="55">
        <v>0.63820678984685353</v>
      </c>
      <c r="C12" s="55">
        <f t="shared" si="841"/>
        <v>0.60544104624931805</v>
      </c>
      <c r="D12" s="55">
        <f t="shared" ref="D12:D75" si="842">C12-$G$3*D11-G$4*D10</f>
        <v>0.63044952879703997</v>
      </c>
      <c r="E12" s="15"/>
      <c r="K12" s="15">
        <v>9</v>
      </c>
      <c r="L12" s="55" t="e">
        <v>#NAME?</v>
      </c>
    </row>
    <row r="13" s="55" customFormat="1" ht="15" customHeight="1">
      <c r="A13" s="55">
        <f t="shared" si="840"/>
        <v>8</v>
      </c>
      <c r="B13" s="55">
        <v>0.13169322212412096</v>
      </c>
      <c r="C13" s="55">
        <f t="shared" si="841"/>
        <v>-0.123589493814621</v>
      </c>
      <c r="D13" s="55">
        <f t="shared" si="842"/>
        <v>8.3522753779617001e-02</v>
      </c>
      <c r="E13" s="15"/>
      <c r="K13" s="15">
        <v>10</v>
      </c>
      <c r="L13" s="55" t="e">
        <v>#NAME?</v>
      </c>
    </row>
    <row r="14" s="55" customFormat="1" ht="15" customHeight="1">
      <c r="A14" s="55">
        <f t="shared" si="840"/>
        <v>9</v>
      </c>
      <c r="B14" s="55">
        <v>-5.7137285520943486e-02</v>
      </c>
      <c r="C14" s="55">
        <f t="shared" si="841"/>
        <v>-0.10981457437059099</v>
      </c>
      <c r="D14" s="55">
        <f t="shared" si="842"/>
        <v>-4.1512194941083998e-02</v>
      </c>
      <c r="E14" s="15"/>
      <c r="K14" s="15">
        <v>11</v>
      </c>
      <c r="L14" s="55" t="e">
        <v>#NAME?</v>
      </c>
    </row>
    <row r="15">
      <c r="A15" s="55">
        <f t="shared" si="840"/>
        <v>10</v>
      </c>
      <c r="B15" s="55">
        <v>0.54124755369311517</v>
      </c>
      <c r="C15" s="55">
        <f t="shared" si="841"/>
        <v>0.56410246790149199</v>
      </c>
      <c r="D15" s="55">
        <f t="shared" si="842"/>
        <v>0.556331210250124</v>
      </c>
      <c r="K15" s="15">
        <v>12</v>
      </c>
      <c r="L15" s="55" t="e">
        <v>#NAME?</v>
      </c>
    </row>
    <row r="16">
      <c r="A16" s="55">
        <f t="shared" si="840"/>
        <v>11</v>
      </c>
      <c r="B16" s="55">
        <v>0.43912452837972638</v>
      </c>
      <c r="C16" s="55">
        <f t="shared" si="841"/>
        <v>0.22262550690248001</v>
      </c>
      <c r="D16" s="55">
        <f t="shared" si="842"/>
        <v>0.39786349722480602</v>
      </c>
      <c r="K16" s="15">
        <v>13</v>
      </c>
      <c r="L16" s="55" t="e">
        <v>#NAME?</v>
      </c>
    </row>
    <row r="17">
      <c r="A17">
        <f t="shared" si="840"/>
        <v>12</v>
      </c>
      <c r="B17">
        <v>0.54883288339069092</v>
      </c>
      <c r="C17" s="55">
        <f t="shared" si="841"/>
        <v>0.37318307203880102</v>
      </c>
      <c r="D17" s="55">
        <f t="shared" si="842"/>
        <v>0.53715762581659199</v>
      </c>
      <c r="K17" s="15">
        <v>14</v>
      </c>
      <c r="L17" s="55" t="e">
        <v>#NAME?</v>
      </c>
    </row>
    <row r="18">
      <c r="A18">
        <f t="shared" si="840"/>
        <v>13</v>
      </c>
      <c r="B18">
        <v>0.85693829196286697</v>
      </c>
      <c r="C18" s="55">
        <f t="shared" si="841"/>
        <v>0.63740513860659098</v>
      </c>
      <c r="D18" s="55">
        <f t="shared" si="842"/>
        <v>0.83548923560557886</v>
      </c>
      <c r="K18" s="17">
        <v>15</v>
      </c>
      <c r="L18" s="67" t="e">
        <v>#NAME?</v>
      </c>
    </row>
    <row r="19">
      <c r="A19">
        <f t="shared" si="840"/>
        <v>14</v>
      </c>
      <c r="B19">
        <v>0.43225906999569402</v>
      </c>
      <c r="C19" s="55">
        <f t="shared" si="841"/>
        <v>8.9483753210546996e-02</v>
      </c>
      <c r="D19" s="55">
        <f t="shared" si="842"/>
        <v>0.39219459864478001</v>
      </c>
    </row>
    <row r="20">
      <c r="A20">
        <f t="shared" si="840"/>
        <v>15</v>
      </c>
      <c r="B20">
        <v>-6.4599939622106764e-02</v>
      </c>
      <c r="C20" s="55">
        <f t="shared" si="841"/>
        <v>-0.23750356762038499</v>
      </c>
      <c r="D20" s="55">
        <f t="shared" si="842"/>
        <v>-5.6930107962088992e-02</v>
      </c>
      <c r="K20" s="15" t="s">
        <v>189</v>
      </c>
      <c r="L20" s="18" t="e">
        <v>#NAME?</v>
      </c>
    </row>
    <row r="21">
      <c r="A21">
        <f t="shared" si="840"/>
        <v>16</v>
      </c>
      <c r="B21">
        <v>-0.20365610579624818</v>
      </c>
      <c r="C21" s="55">
        <f t="shared" si="841"/>
        <v>-0.177816129947405</v>
      </c>
      <c r="D21" s="55">
        <f t="shared" si="842"/>
        <v>-0.170160645669964</v>
      </c>
    </row>
    <row r="22">
      <c r="A22">
        <f t="shared" si="840"/>
        <v>17</v>
      </c>
      <c r="B22">
        <v>-0.11232162753376858</v>
      </c>
      <c r="C22" s="55">
        <f t="shared" si="841"/>
        <v>-3.0859185215270001e-02</v>
      </c>
      <c r="D22" s="55">
        <f t="shared" si="842"/>
        <v>-8.9050249422794006e-02</v>
      </c>
    </row>
    <row r="23">
      <c r="A23">
        <f t="shared" si="840"/>
        <v>18</v>
      </c>
      <c r="B23">
        <v>-0.12263390545953903</v>
      </c>
      <c r="C23" s="55">
        <f t="shared" si="841"/>
        <v>-7.7705254446031005e-02</v>
      </c>
      <c r="D23" s="55">
        <f t="shared" si="842"/>
        <v>-0.11741663188488501</v>
      </c>
    </row>
    <row r="24">
      <c r="A24">
        <f t="shared" si="840"/>
        <v>19</v>
      </c>
      <c r="B24">
        <v>0.49972306363037761</v>
      </c>
      <c r="C24" s="55">
        <f t="shared" si="841"/>
        <v>0.54877662581419395</v>
      </c>
      <c r="D24" s="55">
        <f t="shared" si="842"/>
        <v>0.50534035782470998</v>
      </c>
    </row>
    <row r="25">
      <c r="A25">
        <f t="shared" si="840"/>
        <v>20</v>
      </c>
      <c r="B25">
        <v>-7.1075109664115246e-02</v>
      </c>
      <c r="C25" s="55">
        <f t="shared" si="841"/>
        <v>-0.270964335116266</v>
      </c>
      <c r="D25" s="55">
        <f t="shared" si="842"/>
        <v>-0.11704527106743098</v>
      </c>
    </row>
    <row r="26">
      <c r="A26">
        <f t="shared" si="840"/>
        <v>21</v>
      </c>
      <c r="B26">
        <v>0.9239136154717118</v>
      </c>
      <c r="C26" s="55">
        <f t="shared" si="841"/>
        <v>0.95234365933735798</v>
      </c>
      <c r="D26" s="55">
        <f t="shared" si="842"/>
        <v>0.94823045373852</v>
      </c>
    </row>
    <row r="27">
      <c r="A27">
        <f t="shared" si="840"/>
        <v>22</v>
      </c>
      <c r="B27">
        <v>0.15295754626692404</v>
      </c>
      <c r="C27" s="55">
        <f t="shared" si="841"/>
        <v>-0.21660789992176097</v>
      </c>
      <c r="D27" s="55">
        <f t="shared" si="842"/>
        <v>7.9020704541321998e-02</v>
      </c>
    </row>
    <row r="28">
      <c r="A28">
        <f t="shared" si="840"/>
        <v>23</v>
      </c>
      <c r="B28">
        <v>0.33328421180909706</v>
      </c>
      <c r="C28" s="55">
        <f t="shared" si="841"/>
        <v>0.27210119330232702</v>
      </c>
      <c r="D28" s="55">
        <f t="shared" si="842"/>
        <v>0.35992321870792099</v>
      </c>
    </row>
    <row r="29">
      <c r="A29">
        <f t="shared" si="840"/>
        <v>24</v>
      </c>
      <c r="B29">
        <v>0.18774221804470159</v>
      </c>
      <c r="C29" s="55">
        <f t="shared" si="841"/>
        <v>5.4428533321063004e-02</v>
      </c>
      <c r="D29" s="55">
        <f t="shared" si="842"/>
        <v>0.174783605743809</v>
      </c>
    </row>
    <row r="30">
      <c r="A30">
        <f t="shared" si="840"/>
        <v>25</v>
      </c>
      <c r="B30">
        <v>0.22501409955220569</v>
      </c>
      <c r="C30" s="55">
        <f t="shared" si="841"/>
        <v>0.14991721233432501</v>
      </c>
      <c r="D30" s="55">
        <f t="shared" si="842"/>
        <v>0.22957174498070301</v>
      </c>
    </row>
    <row r="31">
      <c r="A31">
        <f t="shared" si="840"/>
        <v>26</v>
      </c>
      <c r="B31">
        <v>0.10138721615401489</v>
      </c>
      <c r="C31" s="55">
        <f t="shared" si="841"/>
        <v>1.1381576333133e-02</v>
      </c>
      <c r="D31" s="55">
        <f t="shared" si="842"/>
        <v>9.6352126397902998e-02</v>
      </c>
    </row>
    <row r="32">
      <c r="A32">
        <f t="shared" si="840"/>
        <v>27</v>
      </c>
      <c r="B32">
        <v>0.16772638439529056</v>
      </c>
      <c r="C32" s="55">
        <f t="shared" si="841"/>
        <v>0.12717149793368501</v>
      </c>
      <c r="D32" s="55">
        <f t="shared" si="842"/>
        <v>0.17313740186396501</v>
      </c>
    </row>
    <row r="33">
      <c r="A33">
        <f t="shared" si="840"/>
        <v>28</v>
      </c>
      <c r="B33">
        <v>-0.31651644142481467</v>
      </c>
      <c r="C33" s="55">
        <f t="shared" si="841"/>
        <v>-0.38360699518293101</v>
      </c>
      <c r="D33" s="55">
        <f t="shared" si="842"/>
        <v>-0.32186347573388002</v>
      </c>
    </row>
    <row r="34">
      <c r="A34">
        <f t="shared" si="840"/>
        <v>29</v>
      </c>
      <c r="B34">
        <v>-0.5906899743325249</v>
      </c>
      <c r="C34" s="55">
        <f t="shared" si="841"/>
        <v>-0.46408339776259899</v>
      </c>
      <c r="D34" s="55">
        <f t="shared" si="842"/>
        <v>-0.55563116251133104</v>
      </c>
    </row>
    <row r="35">
      <c r="A35">
        <f t="shared" si="840"/>
        <v>30</v>
      </c>
      <c r="B35">
        <v>0.3060210831404202</v>
      </c>
      <c r="C35" s="55">
        <f t="shared" si="841"/>
        <v>0.54229707287342999</v>
      </c>
      <c r="D35" s="55">
        <f t="shared" si="842"/>
        <v>0.34331584198682402</v>
      </c>
    </row>
    <row r="36">
      <c r="A36">
        <f t="shared" si="840"/>
        <v>31</v>
      </c>
      <c r="B36">
        <v>-0.62752248082675643</v>
      </c>
      <c r="C36" s="55">
        <f t="shared" si="841"/>
        <v>-0.749930914082925</v>
      </c>
      <c r="D36" s="55">
        <f t="shared" si="842"/>
        <v>-0.67674848523824704</v>
      </c>
    </row>
    <row r="37">
      <c r="A37">
        <f t="shared" si="840"/>
        <v>32</v>
      </c>
      <c r="B37">
        <v>0.23702118556121193</v>
      </c>
      <c r="C37" s="55">
        <f t="shared" si="841"/>
        <v>0.488030177891915</v>
      </c>
      <c r="D37" s="55">
        <f t="shared" si="842"/>
        <v>0.29417555942863399</v>
      </c>
    </row>
    <row r="38">
      <c r="A38">
        <f t="shared" si="840"/>
        <v>33</v>
      </c>
      <c r="B38">
        <v>-9.8704944770256611e-02</v>
      </c>
      <c r="C38" s="55">
        <f t="shared" si="841"/>
        <v>-0.193513418994742</v>
      </c>
      <c r="D38" s="55">
        <f t="shared" si="842"/>
        <v>-0.144040009574534</v>
      </c>
    </row>
    <row r="39">
      <c r="A39">
        <f t="shared" si="840"/>
        <v>34</v>
      </c>
      <c r="B39">
        <v>0.33462467270222163</v>
      </c>
      <c r="C39" s="55">
        <f t="shared" si="841"/>
        <v>0.374106650610325</v>
      </c>
      <c r="D39" s="55">
        <f t="shared" si="842"/>
        <v>0.347429743120726</v>
      </c>
    </row>
    <row r="40">
      <c r="A40">
        <f t="shared" si="840"/>
        <v>35</v>
      </c>
      <c r="B40">
        <v>7.6903283588442367e-02</v>
      </c>
      <c r="C40" s="55">
        <f t="shared" si="841"/>
        <v>-5.6946585492447001e-02</v>
      </c>
      <c r="D40" s="55">
        <f t="shared" si="842"/>
        <v>4.4699266853603002e-02</v>
      </c>
    </row>
    <row r="41">
      <c r="A41">
        <f t="shared" si="840"/>
        <v>36</v>
      </c>
      <c r="B41">
        <v>-0.31754085082588029</v>
      </c>
      <c r="C41" s="55">
        <f t="shared" si="841"/>
        <v>-0.34830216426125699</v>
      </c>
      <c r="D41" s="55">
        <f t="shared" si="842"/>
        <v>-0.31108696776934103</v>
      </c>
    </row>
    <row r="42">
      <c r="A42">
        <f t="shared" si="840"/>
        <v>37</v>
      </c>
      <c r="B42">
        <v>-0.25419372210868718</v>
      </c>
      <c r="C42" s="55">
        <f t="shared" si="841"/>
        <v>-0.12717738177833501</v>
      </c>
      <c r="D42" s="55">
        <f t="shared" si="842"/>
        <v>-0.22374903451519704</v>
      </c>
    </row>
    <row r="43">
      <c r="A43">
        <f t="shared" si="840"/>
        <v>38</v>
      </c>
      <c r="B43">
        <v>0.62604102360566283</v>
      </c>
      <c r="C43" s="55">
        <f t="shared" si="841"/>
        <v>0.72771851244913799</v>
      </c>
      <c r="D43" s="55">
        <f t="shared" si="842"/>
        <v>0.63562053689431197</v>
      </c>
    </row>
    <row r="44">
      <c r="A44">
        <f t="shared" si="840"/>
        <v>39</v>
      </c>
      <c r="B44">
        <v>0.65942009251344469</v>
      </c>
      <c r="C44" s="55">
        <f t="shared" si="841"/>
        <v>0.40900368307118001</v>
      </c>
      <c r="D44" s="55">
        <f t="shared" si="842"/>
        <v>0.597587328292568</v>
      </c>
    </row>
    <row r="45">
      <c r="A45">
        <f t="shared" si="840"/>
        <v>40</v>
      </c>
      <c r="B45">
        <v>3.9187187377916322e-02</v>
      </c>
      <c r="C45" s="55">
        <f t="shared" si="841"/>
        <v>-0.224580849627462</v>
      </c>
      <c r="D45" s="55">
        <f t="shared" si="842"/>
        <v>8.5170805227739992e-03</v>
      </c>
    </row>
    <row r="46">
      <c r="A46">
        <f t="shared" si="840"/>
        <v>41</v>
      </c>
      <c r="B46">
        <v>0.17389833870797153</v>
      </c>
      <c r="C46" s="55">
        <f t="shared" si="841"/>
        <v>0.15822346375680599</v>
      </c>
      <c r="D46" s="55">
        <f t="shared" si="842"/>
        <v>0.20036327107521101</v>
      </c>
    </row>
    <row r="47">
      <c r="A47">
        <f t="shared" si="840"/>
        <v>42</v>
      </c>
      <c r="B47">
        <v>-0.11526190497676622</v>
      </c>
      <c r="C47" s="55">
        <f t="shared" si="841"/>
        <v>-0.18482124045995499</v>
      </c>
      <c r="D47" s="55">
        <f t="shared" si="842"/>
        <v>-0.12016123040676401</v>
      </c>
    </row>
    <row r="48">
      <c r="A48">
        <f t="shared" si="840"/>
        <v>43</v>
      </c>
      <c r="B48">
        <v>-0.30619159093863518</v>
      </c>
      <c r="C48" s="55">
        <f t="shared" si="841"/>
        <v>-0.26008682894792901</v>
      </c>
      <c r="D48" s="55">
        <f t="shared" si="842"/>
        <v>-0.28531225535764398</v>
      </c>
    </row>
    <row r="49">
      <c r="A49">
        <f t="shared" si="840"/>
        <v>44</v>
      </c>
      <c r="B49">
        <v>0.13241610578810847</v>
      </c>
      <c r="C49" s="55">
        <f t="shared" si="841"/>
        <v>0.254892742163562</v>
      </c>
      <c r="D49" s="55">
        <f t="shared" si="842"/>
        <v>0.15569296745855901</v>
      </c>
    </row>
    <row r="50">
      <c r="A50">
        <f t="shared" si="840"/>
        <v>45</v>
      </c>
      <c r="B50">
        <v>-0.54694148767811068</v>
      </c>
      <c r="C50" s="55">
        <f t="shared" si="841"/>
        <v>-0.59990792999335396</v>
      </c>
      <c r="D50" s="55">
        <f t="shared" si="842"/>
        <v>-0.56891852522021702</v>
      </c>
    </row>
    <row r="51">
      <c r="A51">
        <f t="shared" si="840"/>
        <v>46</v>
      </c>
      <c r="B51">
        <v>7.5804716770691852e-02</v>
      </c>
      <c r="C51" s="55">
        <f t="shared" si="841"/>
        <v>0.29458131184193598</v>
      </c>
      <c r="D51" s="55">
        <f t="shared" si="842"/>
        <v>0.122847540134467</v>
      </c>
    </row>
    <row r="52">
      <c r="A52">
        <f t="shared" si="840"/>
        <v>47</v>
      </c>
      <c r="B52">
        <v>-1.3805346031133389e-02</v>
      </c>
      <c r="C52" s="55">
        <f t="shared" si="841"/>
        <v>-4.4127232739410001e-02</v>
      </c>
      <c r="D52" s="55">
        <f t="shared" si="842"/>
        <v>-4.2351251607268992e-02</v>
      </c>
    </row>
    <row r="53">
      <c r="A53">
        <f t="shared" si="840"/>
        <v>48</v>
      </c>
      <c r="B53">
        <v>0.33052630065869121</v>
      </c>
      <c r="C53" s="55">
        <f t="shared" si="841"/>
        <v>0.33604843907114401</v>
      </c>
      <c r="D53" s="55">
        <f t="shared" si="842"/>
        <v>0.33060250617200199</v>
      </c>
    </row>
    <row r="54">
      <c r="A54">
        <f t="shared" si="840"/>
        <v>49</v>
      </c>
      <c r="B54">
        <v>6.3089327347226012e-02</v>
      </c>
      <c r="C54" s="55">
        <f t="shared" si="841"/>
        <v>-6.9121192916250004e-02</v>
      </c>
      <c r="D54" s="55">
        <f t="shared" si="842"/>
        <v>3.3848547253828e-02</v>
      </c>
    </row>
    <row r="55">
      <c r="A55">
        <f t="shared" si="840"/>
        <v>50</v>
      </c>
      <c r="B55">
        <v>-0.26048714702548137</v>
      </c>
      <c r="C55" s="55">
        <f t="shared" si="841"/>
        <v>-0.28572287796437101</v>
      </c>
      <c r="D55" s="55">
        <f t="shared" si="842"/>
        <v>-0.25308881221231899</v>
      </c>
    </row>
    <row r="56">
      <c r="A56">
        <f t="shared" si="840"/>
        <v>51</v>
      </c>
      <c r="B56">
        <v>0.64674810862294951</v>
      </c>
      <c r="C56" s="55">
        <f t="shared" si="841"/>
        <v>0.75094296743314204</v>
      </c>
      <c r="D56" s="55">
        <f t="shared" si="842"/>
        <v>0.67220983296316905</v>
      </c>
    </row>
    <row r="57">
      <c r="A57">
        <f t="shared" si="840"/>
        <v>52</v>
      </c>
      <c r="B57">
        <v>0.70366243241228776</v>
      </c>
      <c r="C57" s="55">
        <f t="shared" si="841"/>
        <v>0.44496318896310799</v>
      </c>
      <c r="D57" s="55">
        <f t="shared" si="842"/>
        <v>0.64331695652243304</v>
      </c>
    </row>
    <row r="58">
      <c r="A58">
        <f t="shared" si="840"/>
        <v>53</v>
      </c>
      <c r="B58">
        <v>4.8029876219132531e-02</v>
      </c>
      <c r="C58" s="55">
        <f t="shared" si="841"/>
        <v>-0.23343509674578203</v>
      </c>
      <c r="D58" s="55">
        <f t="shared" si="842"/>
        <v>1.6705529216525999e-02</v>
      </c>
    </row>
    <row r="59">
      <c r="A59">
        <f t="shared" si="840"/>
        <v>54</v>
      </c>
      <c r="B59">
        <v>0.51735363915428412</v>
      </c>
      <c r="C59" s="55">
        <f t="shared" si="841"/>
        <v>0.49814168866663094</v>
      </c>
      <c r="D59" s="55">
        <f t="shared" si="842"/>
        <v>0.54591725610113295</v>
      </c>
    </row>
    <row r="60">
      <c r="A60">
        <f t="shared" si="840"/>
        <v>55</v>
      </c>
      <c r="B60">
        <v>0.16904804283569394</v>
      </c>
      <c r="C60" s="55">
        <f t="shared" si="841"/>
        <v>-3.7893412826019997e-02</v>
      </c>
      <c r="D60" s="55">
        <f t="shared" si="842"/>
        <v>0.13785291789106899</v>
      </c>
    </row>
    <row r="61">
      <c r="A61">
        <f t="shared" si="840"/>
        <v>56</v>
      </c>
      <c r="B61">
        <v>0.87765490133672563</v>
      </c>
      <c r="C61" s="55">
        <f t="shared" si="841"/>
        <v>0.81003568420244798</v>
      </c>
      <c r="D61" s="55">
        <f t="shared" si="842"/>
        <v>0.89014333509363186</v>
      </c>
    </row>
    <row r="62">
      <c r="A62">
        <f t="shared" si="840"/>
        <v>57</v>
      </c>
      <c r="B62">
        <v>0.13484802117187897</v>
      </c>
      <c r="C62" s="55">
        <f t="shared" si="841"/>
        <v>-0.216213939362811</v>
      </c>
      <c r="D62" s="55">
        <f t="shared" si="842"/>
        <v>7.7644341588275004e-02</v>
      </c>
    </row>
    <row r="63">
      <c r="A63">
        <f t="shared" si="840"/>
        <v>58</v>
      </c>
      <c r="B63">
        <v>0.27471421248229122</v>
      </c>
      <c r="C63" s="55">
        <f t="shared" si="841"/>
        <v>0.220775004013539</v>
      </c>
      <c r="D63" s="55">
        <f t="shared" si="842"/>
        <v>0.30432546101445801</v>
      </c>
    </row>
    <row r="64">
      <c r="A64">
        <f t="shared" si="840"/>
        <v>59</v>
      </c>
      <c r="B64">
        <v>0.7504454867726611</v>
      </c>
      <c r="C64" s="55">
        <f t="shared" si="841"/>
        <v>0.64055980177974503</v>
      </c>
      <c r="D64" s="55">
        <f t="shared" si="842"/>
        <v>0.74303780514151696</v>
      </c>
    </row>
    <row r="65">
      <c r="A65">
        <f t="shared" si="840"/>
        <v>60</v>
      </c>
      <c r="B65">
        <v>0.43224327377155569</v>
      </c>
      <c r="C65" s="55">
        <f t="shared" si="841"/>
        <v>0.13206507906249201</v>
      </c>
      <c r="D65" s="55">
        <f t="shared" si="842"/>
        <v>0.38984284514753298</v>
      </c>
    </row>
    <row r="66">
      <c r="A66">
        <f t="shared" si="840"/>
        <v>61</v>
      </c>
      <c r="B66">
        <v>-3.9059421132505837e-02</v>
      </c>
      <c r="C66" s="55">
        <f t="shared" si="841"/>
        <v>-0.21195673064112799</v>
      </c>
      <c r="D66" s="55">
        <f t="shared" si="842"/>
        <v>-3.8233445913536002e-02</v>
      </c>
    </row>
    <row r="67">
      <c r="A67">
        <f t="shared" si="840"/>
        <v>62</v>
      </c>
      <c r="B67">
        <v>-0.50717404197370719</v>
      </c>
      <c r="C67" s="55">
        <f t="shared" si="841"/>
        <v>-0.49155027352070502</v>
      </c>
      <c r="D67" s="55">
        <f t="shared" si="842"/>
        <v>-0.47806865164036899</v>
      </c>
    </row>
    <row r="68">
      <c r="A68">
        <f t="shared" si="840"/>
        <v>63</v>
      </c>
      <c r="B68">
        <v>0.51960944946831655</v>
      </c>
      <c r="C68" s="55">
        <f t="shared" si="841"/>
        <v>0.72247906625780001</v>
      </c>
      <c r="D68" s="55">
        <f t="shared" si="842"/>
        <v>0.56701827601624699</v>
      </c>
    </row>
    <row r="69">
      <c r="A69">
        <f t="shared" si="840"/>
        <v>64</v>
      </c>
      <c r="B69">
        <v>-0.26181646538481168</v>
      </c>
      <c r="C69" s="55">
        <f t="shared" si="841"/>
        <v>-0.46966024517213895</v>
      </c>
      <c r="D69" s="55">
        <f t="shared" si="842"/>
        <v>-0.31979733667022298</v>
      </c>
    </row>
    <row r="70">
      <c r="A70">
        <f t="shared" si="840"/>
        <v>65</v>
      </c>
      <c r="B70">
        <v>-0.13816887905714118</v>
      </c>
      <c r="C70" s="55">
        <f t="shared" si="841"/>
        <v>-3.3442292903216e-02</v>
      </c>
      <c r="D70" s="55">
        <f t="shared" si="842"/>
        <v>-9.8349852085671999e-02</v>
      </c>
    </row>
    <row r="71">
      <c r="A71">
        <f t="shared" si="840"/>
        <v>66</v>
      </c>
      <c r="B71">
        <v>-9.6577054658605055e-02</v>
      </c>
      <c r="C71" s="55">
        <f t="shared" si="841"/>
        <v>-4.1309503035748998e-02</v>
      </c>
      <c r="D71" s="55">
        <f t="shared" si="842"/>
        <v>-9.3865515005363984e-02</v>
      </c>
    </row>
    <row r="72">
      <c r="A72">
        <f t="shared" si="840"/>
        <v>67</v>
      </c>
      <c r="B72">
        <v>5.7370588729134822e-02</v>
      </c>
      <c r="C72" s="55">
        <f t="shared" si="841"/>
        <v>9.6001410592576997e-02</v>
      </c>
      <c r="D72" s="55">
        <f t="shared" si="842"/>
        <v>5.9486009940201e-02</v>
      </c>
    </row>
    <row r="73">
      <c r="A73">
        <f t="shared" si="840"/>
        <v>68</v>
      </c>
      <c r="B73">
        <v>-0.17149698873547628</v>
      </c>
      <c r="C73" s="55">
        <f t="shared" si="841"/>
        <v>-0.19444522422713001</v>
      </c>
      <c r="D73" s="55">
        <f t="shared" si="842"/>
        <v>-0.18160613851757099</v>
      </c>
    </row>
    <row r="74">
      <c r="A74">
        <f t="shared" si="840"/>
        <v>69</v>
      </c>
      <c r="B74">
        <v>-0.26611226014777861</v>
      </c>
      <c r="C74" s="55">
        <f t="shared" si="841"/>
        <v>-0.19751346465358899</v>
      </c>
      <c r="D74" s="55">
        <f t="shared" si="842"/>
        <v>-0.25168759291297998</v>
      </c>
    </row>
    <row r="75">
      <c r="A75">
        <f t="shared" ref="A75:A100" si="843">A74+1</f>
        <v>70</v>
      </c>
      <c r="B75">
        <v>0.18782245949059648</v>
      </c>
      <c r="C75" s="55">
        <f t="shared" ref="C75:C99" si="844">B75-0.4*B74</f>
        <v>0.294267363549709</v>
      </c>
      <c r="D75" s="55">
        <f t="shared" si="842"/>
        <v>0.20177173453793201</v>
      </c>
    </row>
    <row r="76">
      <c r="A76">
        <f t="shared" si="843"/>
        <v>71</v>
      </c>
      <c r="B76">
        <v>0.41543305078380388</v>
      </c>
      <c r="C76" s="55">
        <f t="shared" si="844"/>
        <v>0.34030406698756499</v>
      </c>
      <c r="D76" s="55">
        <f t="shared" ref="D76:D99" si="845">C76-$G$3*D75-G$4*D74</f>
        <v>0.38825232210750299</v>
      </c>
    </row>
    <row r="77">
      <c r="A77">
        <f t="shared" si="843"/>
        <v>72</v>
      </c>
      <c r="B77">
        <v>0.70353176573511111</v>
      </c>
      <c r="C77" s="55">
        <f t="shared" si="844"/>
        <v>0.53735854542158901</v>
      </c>
      <c r="D77" s="55">
        <f t="shared" si="845"/>
        <v>0.67487268391241795</v>
      </c>
    </row>
    <row r="78">
      <c r="A78">
        <f t="shared" si="843"/>
        <v>73</v>
      </c>
      <c r="B78">
        <v>-0.3952458411406039</v>
      </c>
      <c r="C78" s="55">
        <f t="shared" si="844"/>
        <v>-0.67665854743464804</v>
      </c>
      <c r="D78" s="55">
        <f t="shared" si="845"/>
        <v>-0.43515192748846099</v>
      </c>
    </row>
    <row r="79">
      <c r="A79">
        <f t="shared" si="843"/>
        <v>74</v>
      </c>
      <c r="B79">
        <v>-0.51964111108785283</v>
      </c>
      <c r="C79" s="55">
        <f t="shared" si="844"/>
        <v>-0.361542774631611</v>
      </c>
      <c r="D79" s="55">
        <f t="shared" si="845"/>
        <v>-0.45623968048802199</v>
      </c>
    </row>
    <row r="80">
      <c r="A80">
        <f t="shared" si="843"/>
        <v>75</v>
      </c>
      <c r="B80">
        <v>0.14942689895794989</v>
      </c>
      <c r="C80" s="55">
        <f t="shared" si="844"/>
        <v>0.35728334339309098</v>
      </c>
      <c r="D80" s="55">
        <f t="shared" si="845"/>
        <v>0.18262628472063402</v>
      </c>
    </row>
    <row r="81">
      <c r="A81">
        <f t="shared" si="843"/>
        <v>76</v>
      </c>
      <c r="B81">
        <v>0.46561919595619383</v>
      </c>
      <c r="C81" s="55">
        <f t="shared" si="844"/>
        <v>0.40584843637301404</v>
      </c>
      <c r="D81" s="55">
        <f t="shared" si="845"/>
        <v>0.43418021189475697</v>
      </c>
    </row>
    <row r="82">
      <c r="A82">
        <f t="shared" si="843"/>
        <v>77</v>
      </c>
      <c r="B82">
        <v>0.28518260718846278</v>
      </c>
      <c r="C82" s="55">
        <f t="shared" si="844"/>
        <v>9.8934928805985006e-02</v>
      </c>
      <c r="D82" s="55">
        <f t="shared" si="845"/>
        <v>0.24987908870582803</v>
      </c>
    </row>
    <row r="83">
      <c r="A83">
        <f t="shared" si="843"/>
        <v>78</v>
      </c>
      <c r="B83">
        <v>-0.79657845002233552</v>
      </c>
      <c r="C83" s="55">
        <f t="shared" si="844"/>
        <v>-0.91065149289772085</v>
      </c>
      <c r="D83" s="55">
        <f t="shared" si="845"/>
        <v>-0.80207537804465789</v>
      </c>
    </row>
    <row r="84">
      <c r="A84">
        <f t="shared" si="843"/>
        <v>79</v>
      </c>
      <c r="B84">
        <v>0.2948278254332069</v>
      </c>
      <c r="C84" s="55">
        <f t="shared" si="844"/>
        <v>0.61345920544214105</v>
      </c>
      <c r="D84" s="55">
        <f t="shared" si="845"/>
        <v>0.37334842513844102</v>
      </c>
    </row>
    <row r="85">
      <c r="A85">
        <f t="shared" si="843"/>
        <v>80</v>
      </c>
      <c r="B85">
        <v>-0.45924627456910311</v>
      </c>
      <c r="C85" s="55">
        <f t="shared" si="844"/>
        <v>-0.57717740474238599</v>
      </c>
      <c r="D85" s="55">
        <f t="shared" si="845"/>
        <v>-0.51064198436705599</v>
      </c>
    </row>
    <row r="86">
      <c r="A86">
        <f t="shared" si="843"/>
        <v>81</v>
      </c>
      <c r="B86">
        <v>-6.2314962980168337e-02</v>
      </c>
      <c r="C86" s="55">
        <f t="shared" si="844"/>
        <v>0.12138354684747302</v>
      </c>
      <c r="D86" s="55">
        <f t="shared" si="845"/>
        <v>-1.7351051375207999e-02</v>
      </c>
    </row>
    <row r="87">
      <c r="A87">
        <f t="shared" si="843"/>
        <v>82</v>
      </c>
      <c r="B87">
        <v>-0.67254194699176528</v>
      </c>
      <c r="C87" s="55">
        <f t="shared" si="844"/>
        <v>-0.64761596179969805</v>
      </c>
      <c r="D87" s="55">
        <f t="shared" si="845"/>
        <v>-0.686847186493733</v>
      </c>
    </row>
    <row r="88">
      <c r="A88">
        <f t="shared" si="843"/>
        <v>83</v>
      </c>
      <c r="B88">
        <v>-0.36329102577914368</v>
      </c>
      <c r="C88" s="55">
        <f t="shared" si="844"/>
        <v>-9.4274246982438012e-02</v>
      </c>
      <c r="D88" s="55">
        <f t="shared" si="845"/>
        <v>-0.31514807264987899</v>
      </c>
    </row>
    <row r="89">
      <c r="A89">
        <f t="shared" si="843"/>
        <v>84</v>
      </c>
      <c r="B89">
        <v>0.24488281260528305</v>
      </c>
      <c r="C89" s="55">
        <f t="shared" si="844"/>
        <v>0.39019922291694098</v>
      </c>
      <c r="D89" s="55">
        <f t="shared" si="845"/>
        <v>0.24407772399161304</v>
      </c>
    </row>
    <row r="90">
      <c r="A90">
        <f t="shared" si="843"/>
        <v>85</v>
      </c>
      <c r="B90">
        <v>0.34561225352951408</v>
      </c>
      <c r="C90" s="55">
        <f t="shared" si="844"/>
        <v>0.24765912848740096</v>
      </c>
      <c r="D90" s="55">
        <f t="shared" si="845"/>
        <v>0.30495583292295603</v>
      </c>
    </row>
    <row r="91">
      <c r="A91">
        <f t="shared" si="843"/>
        <v>86</v>
      </c>
      <c r="B91">
        <v>0.40011886698200072</v>
      </c>
      <c r="C91" s="55">
        <f t="shared" si="844"/>
        <v>0.26187396557019499</v>
      </c>
      <c r="D91" s="55">
        <f t="shared" si="845"/>
        <v>0.37553108884234399</v>
      </c>
    </row>
    <row r="92">
      <c r="A92">
        <f t="shared" si="843"/>
        <v>87</v>
      </c>
      <c r="B92">
        <v>-0.10067849717756343</v>
      </c>
      <c r="C92" s="55">
        <f t="shared" si="844"/>
        <v>-0.26072604397036298</v>
      </c>
      <c r="D92" s="55">
        <f t="shared" si="845"/>
        <v>-0.120475837046808</v>
      </c>
    </row>
    <row r="93">
      <c r="A93">
        <f t="shared" si="843"/>
        <v>88</v>
      </c>
      <c r="B93">
        <v>0.24606536316588329</v>
      </c>
      <c r="C93" s="55">
        <f t="shared" si="844"/>
        <v>0.286336762036908</v>
      </c>
      <c r="D93" s="55">
        <f t="shared" si="845"/>
        <v>0.2725642450145</v>
      </c>
    </row>
    <row r="94">
      <c r="A94">
        <f t="shared" si="843"/>
        <v>89</v>
      </c>
      <c r="B94">
        <v>0.12154161546185811</v>
      </c>
      <c r="C94" s="55">
        <f t="shared" si="844"/>
        <v>2.3115470195505e-02</v>
      </c>
      <c r="D94" s="55">
        <f t="shared" si="845"/>
        <v>0.10236531187587401</v>
      </c>
    </row>
    <row r="95">
      <c r="A95">
        <f t="shared" si="843"/>
        <v>90</v>
      </c>
      <c r="B95">
        <v>-0.64956989756150918</v>
      </c>
      <c r="C95" s="55">
        <f t="shared" si="844"/>
        <v>-0.698186543746252</v>
      </c>
      <c r="D95" s="55">
        <f t="shared" si="845"/>
        <v>-0.64746130147236403</v>
      </c>
    </row>
    <row r="96">
      <c r="A96">
        <f t="shared" si="843"/>
        <v>91</v>
      </c>
      <c r="B96">
        <v>0.6011857555182194</v>
      </c>
      <c r="C96" s="55">
        <f t="shared" si="844"/>
        <v>0.86101371454282405</v>
      </c>
      <c r="D96" s="55">
        <f t="shared" si="845"/>
        <v>0.66063597413477604</v>
      </c>
    </row>
    <row r="97">
      <c r="A97">
        <f t="shared" si="843"/>
        <v>92</v>
      </c>
      <c r="B97">
        <v>0.44718607623193696</v>
      </c>
      <c r="C97" s="55">
        <f t="shared" si="844"/>
        <v>0.20671177402464899</v>
      </c>
      <c r="D97" s="55">
        <f t="shared" si="845"/>
        <v>0.37535129426715502</v>
      </c>
    </row>
    <row r="98">
      <c r="A98">
        <f t="shared" si="843"/>
        <v>93</v>
      </c>
      <c r="B98">
        <v>-7.9606486546142483e-02</v>
      </c>
      <c r="C98" s="55">
        <f t="shared" si="844"/>
        <v>-0.25848091703891701</v>
      </c>
      <c r="D98" s="55">
        <f t="shared" si="845"/>
        <v>-9.4828609814087e-02</v>
      </c>
    </row>
    <row r="99">
      <c r="A99">
        <f t="shared" si="843"/>
        <v>94</v>
      </c>
      <c r="B99">
        <v>0.14220353155740251</v>
      </c>
      <c r="C99" s="55">
        <f t="shared" si="844"/>
        <v>0.17404612617585999</v>
      </c>
      <c r="D99" s="55">
        <f t="shared" si="845"/>
        <v>0.168466559293666</v>
      </c>
    </row>
    <row r="100">
      <c r="A100">
        <f t="shared" si="843"/>
        <v>95</v>
      </c>
      <c r="B100">
        <v>0.77169994942716336</v>
      </c>
      <c r="C100" s="55">
        <f>B100-0.4*B99</f>
        <v>0.71481853680420204</v>
      </c>
      <c r="D100" s="55">
        <f>C100-$G$3*D99-G$4*D98</f>
        <v>0.76245808584132402</v>
      </c>
    </row>
    <row r="101">
      <c r="A101">
        <f t="shared" ref="A101:A164" si="846">A100+1</f>
        <v>96</v>
      </c>
      <c r="B101">
        <v>-0.12293261993415876</v>
      </c>
      <c r="C101" s="55">
        <f t="shared" ref="C101:C164" si="847">B101-0.4*B100</f>
        <v>-0.43161259970502402</v>
      </c>
      <c r="D101" s="55">
        <f>C101-$G$3*D100-G$4*D99</f>
        <v>-0.17658294278676001</v>
      </c>
    </row>
    <row r="102">
      <c r="A102">
        <f t="shared" si="846"/>
        <v>97</v>
      </c>
      <c r="B102">
        <v>0.46496436932208718</v>
      </c>
      <c r="C102" s="55">
        <f t="shared" si="847"/>
        <v>0.51413741729575102</v>
      </c>
      <c r="D102" s="55">
        <f t="shared" ref="D102:D165" si="848">C102-$G$3*D101-G$4*D100</f>
        <v>0.50793623578539404</v>
      </c>
    </row>
    <row r="103">
      <c r="A103">
        <f t="shared" si="846"/>
        <v>98</v>
      </c>
      <c r="B103">
        <v>0.31875260921576248</v>
      </c>
      <c r="C103" s="55">
        <f t="shared" si="847"/>
        <v>0.13276686148692801</v>
      </c>
      <c r="D103" s="55">
        <f t="shared" si="848"/>
        <v>0.28361393704857002</v>
      </c>
    </row>
    <row r="104">
      <c r="A104">
        <f t="shared" si="846"/>
        <v>99</v>
      </c>
      <c r="B104">
        <v>-0.48810125234772339</v>
      </c>
      <c r="C104" s="55">
        <f t="shared" si="847"/>
        <v>-0.61560229603402805</v>
      </c>
      <c r="D104" s="55">
        <f t="shared" si="848"/>
        <v>-0.49136932915389497</v>
      </c>
    </row>
    <row r="105">
      <c r="A105">
        <f t="shared" si="846"/>
        <v>100</v>
      </c>
      <c r="B105">
        <v>-0.25274879361122082</v>
      </c>
      <c r="C105" s="55">
        <f t="shared" si="847"/>
        <v>-5.7508292672132005e-02</v>
      </c>
      <c r="D105" s="55">
        <f t="shared" si="848"/>
        <v>-0.19599599597967199</v>
      </c>
    </row>
    <row r="106">
      <c r="A106">
        <f t="shared" si="846"/>
        <v>101</v>
      </c>
      <c r="B106">
        <v>0.54117532652533118</v>
      </c>
      <c r="C106" s="55">
        <f t="shared" si="847"/>
        <v>0.64227484396981904</v>
      </c>
      <c r="D106" s="55">
        <f t="shared" si="848"/>
        <v>0.54716445219236498</v>
      </c>
    </row>
    <row r="107">
      <c r="A107">
        <f t="shared" si="846"/>
        <v>102</v>
      </c>
      <c r="B107">
        <v>0.41588929488972981</v>
      </c>
      <c r="C107" s="55">
        <f t="shared" si="847"/>
        <v>0.19941916427959799</v>
      </c>
      <c r="D107" s="55">
        <f t="shared" si="848"/>
        <v>0.36153531725669102</v>
      </c>
    </row>
    <row r="108">
      <c r="A108">
        <f t="shared" si="846"/>
        <v>103</v>
      </c>
      <c r="B108">
        <v>0.16041617374482156</v>
      </c>
      <c r="C108" s="55">
        <f t="shared" si="847"/>
        <v>-5.9395442110700006e-03</v>
      </c>
      <c r="D108" s="55">
        <f t="shared" si="848"/>
        <v>0.14580864281966299</v>
      </c>
    </row>
    <row r="109">
      <c r="A109">
        <f t="shared" si="846"/>
        <v>104</v>
      </c>
      <c r="B109">
        <v>-1.3475817579209379</v>
      </c>
      <c r="C109" s="55">
        <f t="shared" si="847"/>
        <v>-1.41174822741887</v>
      </c>
      <c r="D109" s="55">
        <f t="shared" si="848"/>
        <v>-1.34125675084132</v>
      </c>
    </row>
    <row r="110">
      <c r="A110">
        <f t="shared" si="846"/>
        <v>105</v>
      </c>
      <c r="B110">
        <v>0.27028380803135105</v>
      </c>
      <c r="C110" s="55">
        <f t="shared" si="847"/>
        <v>0.80931651119972714</v>
      </c>
      <c r="D110" s="55">
        <f t="shared" si="848"/>
        <v>0.389851944220235</v>
      </c>
    </row>
    <row r="111">
      <c r="A111">
        <f t="shared" si="846"/>
        <v>106</v>
      </c>
      <c r="B111">
        <v>-0.36664722071372097</v>
      </c>
      <c r="C111" s="55">
        <f t="shared" si="847"/>
        <v>-0.474760743926261</v>
      </c>
      <c r="D111" s="55">
        <f t="shared" si="848"/>
        <v>-0.43850850111911299</v>
      </c>
    </row>
    <row r="112">
      <c r="A112">
        <f t="shared" si="846"/>
        <v>107</v>
      </c>
      <c r="B112">
        <v>0.3629695180051602</v>
      </c>
      <c r="C112" s="55">
        <f t="shared" si="847"/>
        <v>0.50962840629064798</v>
      </c>
      <c r="D112" s="55">
        <f t="shared" si="848"/>
        <v>0.395058566756609</v>
      </c>
    </row>
    <row r="113">
      <c r="A113">
        <f t="shared" si="846"/>
        <v>108</v>
      </c>
      <c r="B113">
        <v>3.405456366832614e-02</v>
      </c>
      <c r="C113" s="55">
        <f t="shared" si="847"/>
        <v>-0.11113324353373802</v>
      </c>
      <c r="D113" s="55">
        <f t="shared" si="848"/>
        <v>-1.3672723670123999e-02</v>
      </c>
    </row>
    <row r="114">
      <c r="A114">
        <f t="shared" si="846"/>
        <v>109</v>
      </c>
      <c r="B114">
        <v>0.22472251974334051</v>
      </c>
      <c r="C114" s="55">
        <f t="shared" si="847"/>
        <v>0.21110069427601</v>
      </c>
      <c r="D114" s="55">
        <f t="shared" si="848"/>
        <v>0.23278355471411699</v>
      </c>
    </row>
    <row r="115">
      <c r="A115">
        <f t="shared" si="846"/>
        <v>110</v>
      </c>
      <c r="B115">
        <v>0.23835817196030887</v>
      </c>
      <c r="C115" s="55">
        <f t="shared" si="847"/>
        <v>0.148469164062973</v>
      </c>
      <c r="D115" s="55">
        <f t="shared" si="848"/>
        <v>0.22203717824422103</v>
      </c>
    </row>
    <row r="116">
      <c r="A116">
        <f t="shared" si="846"/>
        <v>111</v>
      </c>
      <c r="B116">
        <v>2.9018813129743858e-03</v>
      </c>
      <c r="C116" s="55">
        <f t="shared" si="847"/>
        <v>-9.2441387471149994e-02</v>
      </c>
      <c r="D116" s="55">
        <f t="shared" si="848"/>
        <v>-6.055715502953001e-03</v>
      </c>
    </row>
    <row r="117">
      <c r="A117">
        <f t="shared" si="846"/>
        <v>112</v>
      </c>
      <c r="B117">
        <v>-7.0164403849902066e-02</v>
      </c>
      <c r="C117" s="55">
        <f t="shared" si="847"/>
        <v>-7.1325156375092014e-02</v>
      </c>
      <c r="D117" s="55">
        <f t="shared" si="848"/>
        <v>-5.8617520624093998e-02</v>
      </c>
    </row>
    <row r="118">
      <c r="A118">
        <f t="shared" si="846"/>
        <v>113</v>
      </c>
      <c r="B118">
        <v>-0.21069309060190561</v>
      </c>
      <c r="C118" s="55">
        <f t="shared" si="847"/>
        <v>-0.18262732906194501</v>
      </c>
      <c r="D118" s="55">
        <f t="shared" si="848"/>
        <v>-0.201779087363188</v>
      </c>
    </row>
    <row r="119">
      <c r="A119">
        <f t="shared" si="846"/>
        <v>114</v>
      </c>
      <c r="B119">
        <v>-0.47693066897558534</v>
      </c>
      <c r="C119" s="55">
        <f t="shared" si="847"/>
        <v>-0.392653432734823</v>
      </c>
      <c r="D119" s="55">
        <f t="shared" si="848"/>
        <v>-0.46107085483502602</v>
      </c>
    </row>
    <row r="120">
      <c r="A120">
        <f t="shared" si="846"/>
        <v>115</v>
      </c>
      <c r="B120">
        <v>-1.0820146542971811e-02</v>
      </c>
      <c r="C120" s="55">
        <f t="shared" si="847"/>
        <v>0.17995212104726199</v>
      </c>
      <c r="D120" s="55">
        <f t="shared" si="848"/>
        <v>1.9142108291591999e-02</v>
      </c>
    </row>
    <row r="121">
      <c r="A121">
        <f t="shared" si="846"/>
        <v>116</v>
      </c>
      <c r="B121">
        <v>-0.53806306600499088</v>
      </c>
      <c r="C121" s="55">
        <f t="shared" si="847"/>
        <v>-0.533735007387802</v>
      </c>
      <c r="D121" s="55">
        <f t="shared" si="848"/>
        <v>-0.558022132870298</v>
      </c>
    </row>
    <row r="122">
      <c r="A122">
        <f t="shared" si="846"/>
        <v>117</v>
      </c>
      <c r="B122">
        <v>-0.37680201240903038</v>
      </c>
      <c r="C122" s="55">
        <f t="shared" si="847"/>
        <v>-0.16157678600703401</v>
      </c>
      <c r="D122" s="55">
        <f t="shared" si="848"/>
        <v>-0.33883118494792103</v>
      </c>
    </row>
    <row r="123">
      <c r="A123">
        <f t="shared" si="846"/>
        <v>118</v>
      </c>
      <c r="B123">
        <v>6.0518363345847613e-02</v>
      </c>
      <c r="C123" s="55">
        <f t="shared" si="847"/>
        <v>0.21123916830946002</v>
      </c>
      <c r="D123" s="55">
        <f t="shared" si="848"/>
        <v>6.6038123382653996e-02</v>
      </c>
    </row>
    <row r="124">
      <c r="A124">
        <f t="shared" si="846"/>
        <v>119</v>
      </c>
      <c r="B124">
        <v>0.908568246574603</v>
      </c>
      <c r="C124" s="55">
        <f t="shared" si="847"/>
        <v>0.88436090123626399</v>
      </c>
      <c r="D124" s="55">
        <f t="shared" si="848"/>
        <v>0.88313885791320801</v>
      </c>
    </row>
    <row r="125">
      <c r="A125">
        <f t="shared" si="846"/>
        <v>120</v>
      </c>
      <c r="B125">
        <v>-0.36496444622151897</v>
      </c>
      <c r="C125" s="55">
        <f t="shared" si="847"/>
        <v>-0.72839174485136005</v>
      </c>
      <c r="D125" s="55">
        <f t="shared" si="848"/>
        <v>-0.44151096051049504</v>
      </c>
    </row>
    <row r="126">
      <c r="A126">
        <f t="shared" si="846"/>
        <v>121</v>
      </c>
      <c r="B126">
        <v>-0.46851595528866935</v>
      </c>
      <c r="C126" s="55">
        <f t="shared" si="847"/>
        <v>-0.32253017680006102</v>
      </c>
      <c r="D126" s="55">
        <f t="shared" si="848"/>
        <v>-0.40552477629560196</v>
      </c>
    </row>
    <row r="127">
      <c r="A127">
        <f t="shared" si="846"/>
        <v>122</v>
      </c>
      <c r="B127">
        <v>1.0250626756055023</v>
      </c>
      <c r="C127" s="55">
        <f t="shared" si="847"/>
        <v>1.21246905772097</v>
      </c>
      <c r="D127" s="55">
        <f t="shared" si="848"/>
        <v>1.05361678958855</v>
      </c>
    </row>
    <row r="128">
      <c r="A128">
        <f t="shared" si="846"/>
        <v>123</v>
      </c>
      <c r="B128">
        <v>-0.12821570689953868</v>
      </c>
      <c r="C128" s="55">
        <f t="shared" si="847"/>
        <v>-0.53824077714173901</v>
      </c>
      <c r="D128" s="55">
        <f t="shared" si="848"/>
        <v>-0.22792527355911402</v>
      </c>
    </row>
    <row r="129">
      <c r="A129">
        <f t="shared" si="846"/>
        <v>124</v>
      </c>
      <c r="B129">
        <v>0.1484634817449306</v>
      </c>
      <c r="C129" s="55">
        <f t="shared" si="847"/>
        <v>0.19974976450474699</v>
      </c>
      <c r="D129" s="55">
        <f t="shared" si="848"/>
        <v>0.19632762288094299</v>
      </c>
    </row>
    <row r="130">
      <c r="A130">
        <f t="shared" si="846"/>
        <v>125</v>
      </c>
      <c r="B130">
        <v>0.79443782802329266</v>
      </c>
      <c r="C130" s="55">
        <f t="shared" si="847"/>
        <v>0.73505243532532105</v>
      </c>
      <c r="D130" s="55">
        <f t="shared" si="848"/>
        <v>0.78282635660832001</v>
      </c>
    </row>
    <row r="131">
      <c r="A131">
        <f t="shared" si="846"/>
        <v>126</v>
      </c>
      <c r="B131">
        <v>-0.38803213955391319</v>
      </c>
      <c r="C131" s="55">
        <f t="shared" si="847"/>
        <v>-0.70580727076323002</v>
      </c>
      <c r="D131" s="55">
        <f t="shared" si="848"/>
        <v>-0.44242396285115798</v>
      </c>
    </row>
    <row r="132">
      <c r="A132">
        <f t="shared" si="846"/>
        <v>127</v>
      </c>
      <c r="B132">
        <v>-1.3998932143015734</v>
      </c>
      <c r="C132" s="55">
        <f t="shared" si="847"/>
        <v>-1.2446803584800099</v>
      </c>
      <c r="D132" s="55">
        <f t="shared" si="848"/>
        <v>-1.3345833549423001</v>
      </c>
    </row>
    <row r="133">
      <c r="A133">
        <f t="shared" si="846"/>
        <v>128</v>
      </c>
      <c r="B133">
        <v>-0.20867478752123328</v>
      </c>
      <c r="C133" s="55">
        <f t="shared" si="847"/>
        <v>0.351282498199395</v>
      </c>
      <c r="D133" s="55">
        <f t="shared" si="848"/>
        <v>-0.104845278127221</v>
      </c>
    </row>
    <row r="134">
      <c r="A134">
        <f t="shared" si="846"/>
        <v>129</v>
      </c>
      <c r="B134">
        <v>-5.1587365971343523e-02</v>
      </c>
      <c r="C134" s="55">
        <f t="shared" si="847"/>
        <v>3.1882549037149002e-02</v>
      </c>
      <c r="D134" s="55">
        <f t="shared" si="848"/>
        <v>-8.9683723791801007e-02</v>
      </c>
    </row>
    <row r="135">
      <c r="A135">
        <f t="shared" si="846"/>
        <v>130</v>
      </c>
      <c r="B135">
        <v>-2.8380451480331949e-02</v>
      </c>
      <c r="C135" s="55">
        <f t="shared" si="847"/>
        <v>-7.7455050917940001e-03</v>
      </c>
      <c r="D135" s="55">
        <f t="shared" si="848"/>
        <v>-4.3351527441486001e-02</v>
      </c>
    </row>
    <row r="136">
      <c r="A136">
        <f t="shared" si="846"/>
        <v>131</v>
      </c>
      <c r="B136">
        <v>-5.0483662879211126e-02</v>
      </c>
      <c r="C136" s="55">
        <f t="shared" si="847"/>
        <v>-3.9131482287077995e-02</v>
      </c>
      <c r="D136" s="55">
        <f t="shared" si="848"/>
        <v>-5.8915352121598999e-02</v>
      </c>
    </row>
    <row r="137">
      <c r="A137">
        <f t="shared" si="846"/>
        <v>132</v>
      </c>
      <c r="B137">
        <v>0.40466650426540046</v>
      </c>
      <c r="C137" s="55">
        <f t="shared" si="847"/>
        <v>0.42485996941708504</v>
      </c>
      <c r="D137" s="55">
        <f t="shared" si="848"/>
        <v>0.40315300947490601</v>
      </c>
    </row>
    <row r="138">
      <c r="A138">
        <f t="shared" si="846"/>
        <v>133</v>
      </c>
      <c r="B138">
        <v>0.52315476793853832</v>
      </c>
      <c r="C138" s="55">
        <f t="shared" si="847"/>
        <v>0.36128816623237803</v>
      </c>
      <c r="D138" s="55">
        <f t="shared" si="848"/>
        <v>0.486375030892711</v>
      </c>
    </row>
    <row r="139">
      <c r="A139">
        <f t="shared" si="846"/>
        <v>134</v>
      </c>
      <c r="B139">
        <v>0.46996811860365117</v>
      </c>
      <c r="C139" s="55">
        <f t="shared" si="847"/>
        <v>0.26070621142823602</v>
      </c>
      <c r="D139" s="55">
        <f t="shared" si="848"/>
        <v>0.44289332048192892</v>
      </c>
    </row>
    <row r="140">
      <c r="A140">
        <f t="shared" si="846"/>
        <v>135</v>
      </c>
      <c r="B140">
        <v>-0.39598910612523192</v>
      </c>
      <c r="C140" s="55">
        <f t="shared" si="847"/>
        <v>-0.58397635356669197</v>
      </c>
      <c r="D140" s="55">
        <f t="shared" si="848"/>
        <v>-0.41021040562019506</v>
      </c>
    </row>
    <row r="141">
      <c r="A141">
        <f t="shared" si="846"/>
        <v>136</v>
      </c>
      <c r="B141">
        <v>-0.1750562864439289</v>
      </c>
      <c r="C141" s="55">
        <f t="shared" si="847"/>
        <v>-1.6660643993835999e-02</v>
      </c>
      <c r="D141" s="55">
        <f t="shared" si="848"/>
        <v>-0.11867918140855301</v>
      </c>
    </row>
    <row r="142">
      <c r="A142">
        <f t="shared" si="846"/>
        <v>137</v>
      </c>
      <c r="B142">
        <v>-0.14587797149207962</v>
      </c>
      <c r="C142" s="55">
        <f t="shared" si="847"/>
        <v>-7.5855456914507999e-02</v>
      </c>
      <c r="D142" s="55">
        <f t="shared" si="848"/>
        <v>-0.140878408836414</v>
      </c>
    </row>
    <row r="143">
      <c r="A143">
        <f t="shared" si="846"/>
        <v>138</v>
      </c>
      <c r="B143">
        <v>7.4800791128076916e-02</v>
      </c>
      <c r="C143" s="55">
        <f t="shared" si="847"/>
        <v>0.133151979724909</v>
      </c>
      <c r="D143" s="55">
        <f t="shared" si="848"/>
        <v>8.0255813235580009e-02</v>
      </c>
    </row>
    <row r="144">
      <c r="A144">
        <f t="shared" si="846"/>
        <v>139</v>
      </c>
      <c r="B144">
        <v>-4.2638486055452611e-02</v>
      </c>
      <c r="C144" s="55">
        <f t="shared" si="847"/>
        <v>-7.2558802506684006e-02</v>
      </c>
      <c r="D144" s="55">
        <f t="shared" si="848"/>
        <v>-5.6176077986179997e-02</v>
      </c>
    </row>
    <row r="145">
      <c r="A145">
        <f t="shared" si="846"/>
        <v>140</v>
      </c>
      <c r="B145">
        <v>-0.7181893143128113</v>
      </c>
      <c r="C145" s="55">
        <f t="shared" si="847"/>
        <v>-0.70113391989063001</v>
      </c>
      <c r="D145" s="55">
        <f t="shared" si="848"/>
        <v>-0.713811780693825</v>
      </c>
    </row>
    <row r="146">
      <c r="A146">
        <f t="shared" si="846"/>
        <v>141</v>
      </c>
      <c r="B146">
        <v>0.24957308195370337</v>
      </c>
      <c r="C146" s="55">
        <f t="shared" si="847"/>
        <v>0.53684880767882703</v>
      </c>
      <c r="D146" s="55">
        <f t="shared" si="848"/>
        <v>0.30478794922811198</v>
      </c>
    </row>
    <row r="147">
      <c r="A147">
        <f t="shared" si="846"/>
        <v>142</v>
      </c>
      <c r="B147">
        <v>-0.91751252484688306</v>
      </c>
      <c r="C147" s="55">
        <f t="shared" si="847"/>
        <v>-1.0173417576283601</v>
      </c>
      <c r="D147" s="55">
        <f t="shared" si="848"/>
        <v>-0.96691792297781998</v>
      </c>
    </row>
    <row r="148">
      <c r="A148">
        <f t="shared" si="846"/>
        <v>143</v>
      </c>
      <c r="B148">
        <v>2.5075431761081166e-02</v>
      </c>
      <c r="C148" s="55">
        <f t="shared" si="847"/>
        <v>0.39208044169983403</v>
      </c>
      <c r="D148" s="55">
        <f t="shared" si="848"/>
        <v>0.10285648189095201</v>
      </c>
    </row>
    <row r="149">
      <c r="A149">
        <f t="shared" si="846"/>
        <v>144</v>
      </c>
      <c r="B149">
        <v>0.25095282799290247</v>
      </c>
      <c r="C149" s="55">
        <f t="shared" si="847"/>
        <v>0.24092265528847098</v>
      </c>
      <c r="D149" s="55">
        <f t="shared" si="848"/>
        <v>0.210052421153476</v>
      </c>
    </row>
    <row r="150">
      <c r="A150">
        <f t="shared" si="846"/>
        <v>145</v>
      </c>
      <c r="B150">
        <v>-0.13079037606187624</v>
      </c>
      <c r="C150" s="55">
        <f t="shared" si="847"/>
        <v>-0.23117150725903701</v>
      </c>
      <c r="D150" s="55">
        <f t="shared" si="848"/>
        <v>-0.15718948945564601</v>
      </c>
    </row>
    <row r="151">
      <c r="A151">
        <f t="shared" si="846"/>
        <v>146</v>
      </c>
      <c r="B151">
        <v>3.9347252655179736e-02</v>
      </c>
      <c r="C151" s="55">
        <f t="shared" si="847"/>
        <v>9.1663403079929998e-02</v>
      </c>
      <c r="D151" s="55">
        <f t="shared" si="848"/>
        <v>5.5231327874663991e-02</v>
      </c>
    </row>
    <row r="152">
      <c r="A152">
        <f t="shared" si="846"/>
        <v>147</v>
      </c>
      <c r="B152">
        <v>-0.24956702482861565</v>
      </c>
      <c r="C152" s="55">
        <f t="shared" si="847"/>
        <v>-0.26530592589068802</v>
      </c>
      <c r="D152" s="55">
        <f t="shared" si="848"/>
        <v>-0.25800461978875999</v>
      </c>
    </row>
    <row r="153">
      <c r="A153">
        <f t="shared" si="846"/>
        <v>148</v>
      </c>
      <c r="B153">
        <v>-4.3466069434543737e-02</v>
      </c>
      <c r="C153" s="55">
        <f t="shared" si="847"/>
        <v>5.6360740496901991e-02</v>
      </c>
      <c r="D153" s="55">
        <f t="shared" si="848"/>
        <v>-2.2534665353359001e-02</v>
      </c>
    </row>
    <row r="154">
      <c r="A154">
        <f t="shared" si="846"/>
        <v>149</v>
      </c>
      <c r="B154">
        <v>-9.4167699304106622e-02</v>
      </c>
      <c r="C154" s="55">
        <f t="shared" si="847"/>
        <v>-7.6781271530289005e-02</v>
      </c>
      <c r="D154" s="55">
        <f t="shared" si="848"/>
        <v>-0.10100756782684299</v>
      </c>
    </row>
    <row r="155">
      <c r="A155">
        <f t="shared" si="846"/>
        <v>150</v>
      </c>
      <c r="B155">
        <v>1.0789945199254356</v>
      </c>
      <c r="C155" s="55">
        <f t="shared" si="847"/>
        <v>1.1166615996470799</v>
      </c>
      <c r="D155" s="55">
        <f t="shared" si="848"/>
        <v>1.08286193089816</v>
      </c>
    </row>
    <row r="156">
      <c r="A156">
        <f t="shared" si="846"/>
        <v>151</v>
      </c>
      <c r="B156">
        <v>0.19457012465328444</v>
      </c>
      <c r="C156" s="55">
        <f t="shared" si="847"/>
        <v>-0.237027683316892</v>
      </c>
      <c r="D156" s="55">
        <f t="shared" si="848"/>
        <v>0.10272869994023</v>
      </c>
    </row>
    <row r="157">
      <c r="A157">
        <f t="shared" si="846"/>
        <v>152</v>
      </c>
      <c r="B157">
        <v>-0.93304167847339625</v>
      </c>
      <c r="C157" s="55">
        <f t="shared" si="847"/>
        <v>-1.0108697283347099</v>
      </c>
      <c r="D157" s="55">
        <f t="shared" si="848"/>
        <v>-0.90658337688093993</v>
      </c>
    </row>
    <row r="158">
      <c r="A158">
        <f t="shared" si="846"/>
        <v>153</v>
      </c>
      <c r="B158">
        <v>-0.16706237349180128</v>
      </c>
      <c r="C158" s="55">
        <f t="shared" si="847"/>
        <v>0.20615429789755799</v>
      </c>
      <c r="D158" s="55">
        <f t="shared" si="848"/>
        <v>-7.7095262086402994e-02</v>
      </c>
    </row>
    <row r="159">
      <c r="A159">
        <f t="shared" si="846"/>
        <v>154</v>
      </c>
      <c r="B159">
        <v>0.25997599923618075</v>
      </c>
      <c r="C159" s="55">
        <f t="shared" si="847"/>
        <v>0.32680094863290099</v>
      </c>
      <c r="D159" s="55">
        <f t="shared" si="848"/>
        <v>0.242341810834591</v>
      </c>
    </row>
    <row r="160">
      <c r="A160">
        <f t="shared" si="846"/>
        <v>155</v>
      </c>
      <c r="B160">
        <v>-0.66600962106369432</v>
      </c>
      <c r="C160" s="55">
        <f t="shared" si="847"/>
        <v>-0.77000002075816598</v>
      </c>
      <c r="D160" s="55">
        <f t="shared" si="848"/>
        <v>-0.69755738775035903</v>
      </c>
    </row>
    <row r="161">
      <c r="A161">
        <f t="shared" si="846"/>
        <v>156</v>
      </c>
      <c r="B161">
        <v>0.11797693608631241</v>
      </c>
      <c r="C161" s="55">
        <f t="shared" si="847"/>
        <v>0.38438078451178997</v>
      </c>
      <c r="D161" s="55">
        <f t="shared" si="848"/>
        <v>0.177209235677984</v>
      </c>
    </row>
    <row r="162">
      <c r="A162">
        <f t="shared" si="846"/>
        <v>157</v>
      </c>
      <c r="B162">
        <v>-0.38200653711381494</v>
      </c>
      <c r="C162" s="55">
        <f t="shared" si="847"/>
        <v>-0.42919731154834001</v>
      </c>
      <c r="D162" s="55">
        <f t="shared" si="848"/>
        <v>-0.41851511296877908</v>
      </c>
    </row>
    <row r="163">
      <c r="A163">
        <f t="shared" si="846"/>
        <v>158</v>
      </c>
      <c r="B163">
        <v>0.65451858323512324</v>
      </c>
      <c r="C163" s="55">
        <f t="shared" si="847"/>
        <v>0.80732119808064895</v>
      </c>
      <c r="D163" s="55">
        <f t="shared" si="848"/>
        <v>0.68512215769732898</v>
      </c>
    </row>
    <row r="164">
      <c r="A164">
        <f t="shared" si="846"/>
        <v>159</v>
      </c>
      <c r="B164">
        <v>0.31230951248154232</v>
      </c>
      <c r="C164" s="55">
        <f t="shared" si="847"/>
        <v>5.0502079187492999e-02</v>
      </c>
      <c r="D164" s="55">
        <f t="shared" si="848"/>
        <v>0.24207559739238999</v>
      </c>
    </row>
    <row r="165">
      <c r="A165">
        <f t="shared" ref="A165:A205" si="849">A164+1</f>
        <v>160</v>
      </c>
      <c r="B165">
        <v>-0.11414619211828736</v>
      </c>
      <c r="C165" s="55">
        <f t="shared" ref="C165:C205" si="850">B165-0.4*B164</f>
        <v>-0.23906999711090399</v>
      </c>
      <c r="D165" s="55">
        <f t="shared" si="848"/>
        <v>-0.116438904115479</v>
      </c>
    </row>
    <row r="166">
      <c r="A166">
        <f t="shared" si="849"/>
        <v>161</v>
      </c>
      <c r="B166">
        <v>-0.45830678053502522</v>
      </c>
      <c r="C166" s="55">
        <f t="shared" si="850"/>
        <v>-0.41264830368770999</v>
      </c>
      <c r="D166" s="55">
        <f t="shared" ref="D166:D205" si="851">C166-$G$3*D165-G$4*D164</f>
        <v>-0.43393169741097398</v>
      </c>
    </row>
    <row r="167">
      <c r="A167">
        <f t="shared" si="849"/>
        <v>162</v>
      </c>
      <c r="B167">
        <v>6.3411234207975328e-02</v>
      </c>
      <c r="C167" s="55">
        <f t="shared" si="850"/>
        <v>0.24673394642198501</v>
      </c>
      <c r="D167" s="55">
        <f t="shared" si="851"/>
        <v>0.100234814239252</v>
      </c>
    </row>
    <row r="168">
      <c r="A168">
        <f t="shared" si="849"/>
        <v>163</v>
      </c>
      <c r="B168">
        <v>0.50173549649751492</v>
      </c>
      <c r="C168" s="55">
        <f t="shared" si="850"/>
        <v>0.47637100281432498</v>
      </c>
      <c r="D168" s="55">
        <f t="shared" si="851"/>
        <v>0.47981627798702797</v>
      </c>
    </row>
    <row r="169">
      <c r="A169">
        <f t="shared" si="849"/>
        <v>164</v>
      </c>
      <c r="B169">
        <v>-4.7878140516434742e-02</v>
      </c>
      <c r="C169" s="55">
        <f t="shared" si="850"/>
        <v>-0.24857233911544099</v>
      </c>
      <c r="D169" s="55">
        <f t="shared" si="851"/>
        <v>-8.8463037110224005e-02</v>
      </c>
    </row>
    <row r="170">
      <c r="A170">
        <f t="shared" si="849"/>
        <v>165</v>
      </c>
      <c r="B170">
        <v>0.14014491224633679</v>
      </c>
      <c r="C170" s="55">
        <f t="shared" si="850"/>
        <v>0.159296168452911</v>
      </c>
      <c r="D170" s="55">
        <f t="shared" si="851"/>
        <v>0.16264321681268101</v>
      </c>
    </row>
    <row r="171">
      <c r="A171">
        <f t="shared" si="849"/>
        <v>166</v>
      </c>
      <c r="B171">
        <v>-0.22094875069833905</v>
      </c>
      <c r="C171" s="55">
        <f t="shared" si="850"/>
        <v>-0.27700671559687401</v>
      </c>
      <c r="D171" s="55">
        <f t="shared" si="851"/>
        <v>-0.23081025855505799</v>
      </c>
    </row>
    <row r="172">
      <c r="A172">
        <f t="shared" si="849"/>
        <v>167</v>
      </c>
      <c r="B172">
        <v>0.60190831699301117</v>
      </c>
      <c r="C172" s="55">
        <f t="shared" si="850"/>
        <v>0.690287817272347</v>
      </c>
      <c r="D172" s="55">
        <f t="shared" si="851"/>
        <v>0.62717673719586098</v>
      </c>
    </row>
    <row r="173">
      <c r="A173">
        <f t="shared" si="849"/>
        <v>168</v>
      </c>
      <c r="B173">
        <v>0.57112113782875606</v>
      </c>
      <c r="C173" s="55">
        <f t="shared" si="850"/>
        <v>0.33035781103155198</v>
      </c>
      <c r="D173" s="55">
        <f t="shared" si="851"/>
        <v>0.51577446122582704</v>
      </c>
    </row>
    <row r="174">
      <c r="A174">
        <f t="shared" si="849"/>
        <v>169</v>
      </c>
      <c r="B174">
        <v>0.42935318255318633</v>
      </c>
      <c r="C174" s="55">
        <f t="shared" si="850"/>
        <v>0.20090472742168403</v>
      </c>
      <c r="D174" s="55">
        <f t="shared" si="851"/>
        <v>0.407272960985951</v>
      </c>
    </row>
    <row r="175">
      <c r="A175">
        <f t="shared" si="849"/>
        <v>170</v>
      </c>
      <c r="B175">
        <v>3.2284282684139576e-02</v>
      </c>
      <c r="C175" s="55">
        <f t="shared" si="850"/>
        <v>-0.13945699033713399</v>
      </c>
      <c r="D175" s="55">
        <f t="shared" si="851"/>
        <v>2.4852742449468002e-02</v>
      </c>
    </row>
    <row r="176">
      <c r="A176">
        <f t="shared" si="849"/>
        <v>171</v>
      </c>
      <c r="B176">
        <v>0.13032847091512376</v>
      </c>
      <c r="C176" s="55">
        <f t="shared" si="850"/>
        <v>0.117414757841468</v>
      </c>
      <c r="D176" s="55">
        <f t="shared" si="851"/>
        <v>0.15222793235517401</v>
      </c>
    </row>
    <row r="177">
      <c r="A177">
        <f t="shared" si="849"/>
        <v>172</v>
      </c>
      <c r="B177">
        <v>0.55577904583932602</v>
      </c>
      <c r="C177" s="55">
        <f t="shared" si="850"/>
        <v>0.503647657473276</v>
      </c>
      <c r="D177" s="55">
        <f t="shared" si="851"/>
        <v>0.55398613538647801</v>
      </c>
    </row>
    <row r="178">
      <c r="A178">
        <f t="shared" si="849"/>
        <v>173</v>
      </c>
      <c r="B178">
        <v>-0.25846732041896892</v>
      </c>
      <c r="C178" s="55">
        <f t="shared" si="850"/>
        <v>-0.48077893875469896</v>
      </c>
      <c r="D178" s="55">
        <f t="shared" si="851"/>
        <v>-0.29351263144434703</v>
      </c>
    </row>
    <row r="179">
      <c r="A179">
        <f t="shared" si="849"/>
        <v>174</v>
      </c>
      <c r="B179">
        <v>0.27306064744471714</v>
      </c>
      <c r="C179" s="55">
        <f t="shared" si="850"/>
        <v>0.37644757561230502</v>
      </c>
      <c r="D179" s="55">
        <f t="shared" si="851"/>
        <v>0.31908919923205897</v>
      </c>
    </row>
    <row r="180">
      <c r="A180">
        <f t="shared" si="849"/>
        <v>175</v>
      </c>
      <c r="B180">
        <v>-0.80712998639146638</v>
      </c>
      <c r="C180" s="55">
        <f t="shared" si="850"/>
        <v>-0.91635424536935306</v>
      </c>
      <c r="D180" s="55">
        <f t="shared" si="851"/>
        <v>-0.833633596808939</v>
      </c>
    </row>
    <row r="181">
      <c r="A181">
        <f t="shared" si="849"/>
        <v>176</v>
      </c>
      <c r="B181">
        <v>-9.080471442227743e-02</v>
      </c>
      <c r="C181" s="55">
        <f t="shared" si="850"/>
        <v>0.23204728013430903</v>
      </c>
      <c r="D181" s="55">
        <f t="shared" si="851"/>
        <v>-1.3594399545119002e-02</v>
      </c>
    </row>
    <row r="182">
      <c r="A182">
        <f t="shared" si="849"/>
        <v>177</v>
      </c>
      <c r="B182">
        <v>0.78479208772105424</v>
      </c>
      <c r="C182" s="55">
        <f t="shared" si="850"/>
        <v>0.82111397348996495</v>
      </c>
      <c r="D182" s="55">
        <f t="shared" si="851"/>
        <v>0.76178096094973602</v>
      </c>
    </row>
    <row r="183">
      <c r="A183">
        <f t="shared" si="849"/>
        <v>178</v>
      </c>
      <c r="B183">
        <v>-0.13451947923937232</v>
      </c>
      <c r="C183" s="55">
        <f t="shared" si="850"/>
        <v>-0.44843631432779396</v>
      </c>
      <c r="D183" s="55">
        <f t="shared" si="851"/>
        <v>-0.20563148315922503</v>
      </c>
    </row>
    <row r="184">
      <c r="A184">
        <f t="shared" si="849"/>
        <v>179</v>
      </c>
      <c r="B184">
        <v>0.12925003906509253</v>
      </c>
      <c r="C184" s="55">
        <f t="shared" si="850"/>
        <v>0.18305783076084201</v>
      </c>
      <c r="D184" s="55">
        <f t="shared" si="851"/>
        <v>0.16751906454686699</v>
      </c>
    </row>
    <row r="185">
      <c r="A185">
        <f t="shared" si="849"/>
        <v>180</v>
      </c>
      <c r="B185">
        <v>-0.39138319355115314</v>
      </c>
      <c r="C185" s="55">
        <f t="shared" si="850"/>
        <v>-0.44308320917719002</v>
      </c>
      <c r="D185" s="55">
        <f t="shared" si="851"/>
        <v>-0.40305500573545106</v>
      </c>
    </row>
    <row r="186">
      <c r="A186">
        <f t="shared" si="849"/>
        <v>181</v>
      </c>
      <c r="B186">
        <v>0.99268646809453442</v>
      </c>
      <c r="C186" s="55">
        <f t="shared" si="850"/>
        <v>1.1492397455150001</v>
      </c>
      <c r="D186" s="55">
        <f t="shared" si="851"/>
        <v>1.0313474154350899</v>
      </c>
    </row>
    <row r="187">
      <c r="A187">
        <f t="shared" si="849"/>
        <v>182</v>
      </c>
      <c r="B187">
        <v>1.1045485291507553</v>
      </c>
      <c r="C187" s="55">
        <f t="shared" si="850"/>
        <v>0.70747394191294599</v>
      </c>
      <c r="D187" s="55">
        <f t="shared" si="851"/>
        <v>1.0108281450095999</v>
      </c>
    </row>
    <row r="188">
      <c r="A188">
        <f t="shared" si="849"/>
        <v>183</v>
      </c>
      <c r="B188">
        <v>-0.34636077127091497</v>
      </c>
      <c r="C188" s="55">
        <f t="shared" si="850"/>
        <v>-0.78818018293121905</v>
      </c>
      <c r="D188" s="55">
        <f t="shared" si="851"/>
        <v>-0.39678132853292197</v>
      </c>
    </row>
    <row r="189">
      <c r="A189">
        <f t="shared" si="849"/>
        <v>184</v>
      </c>
      <c r="B189">
        <v>-4.285385940483985e-02</v>
      </c>
      <c r="C189" s="55">
        <f t="shared" si="850"/>
        <v>9.5690449103526004e-02</v>
      </c>
      <c r="D189" s="55">
        <f t="shared" si="851"/>
        <v>3.5427324533922e-02</v>
      </c>
    </row>
    <row r="190">
      <c r="A190">
        <f t="shared" si="849"/>
        <v>185</v>
      </c>
      <c r="B190">
        <v>0.82486687850577023</v>
      </c>
      <c r="C190" s="55">
        <f t="shared" si="850"/>
        <v>0.842008422267706</v>
      </c>
      <c r="D190" s="55">
        <f t="shared" si="851"/>
        <v>0.82717145161156291</v>
      </c>
    </row>
    <row r="191">
      <c r="A191">
        <f t="shared" si="849"/>
        <v>186</v>
      </c>
      <c r="B191">
        <v>0.26146176427923484</v>
      </c>
      <c r="C191" s="55">
        <f t="shared" si="850"/>
        <v>-6.8484987123072993e-02</v>
      </c>
      <c r="D191" s="55">
        <f t="shared" si="851"/>
        <v>0.19847225620035702</v>
      </c>
    </row>
    <row r="192">
      <c r="A192">
        <f t="shared" si="849"/>
        <v>187</v>
      </c>
      <c r="B192">
        <v>-0.35460608851308534</v>
      </c>
      <c r="C192" s="55">
        <f t="shared" si="850"/>
        <v>-0.45919079422477899</v>
      </c>
      <c r="D192" s="55">
        <f t="shared" si="851"/>
        <v>-0.34113969898817997</v>
      </c>
    </row>
    <row r="193">
      <c r="A193">
        <f t="shared" si="849"/>
        <v>188</v>
      </c>
      <c r="B193">
        <v>-0.26876158315295717</v>
      </c>
      <c r="C193" s="55">
        <f t="shared" si="850"/>
        <v>-0.126919147747723</v>
      </c>
      <c r="D193" s="55">
        <f t="shared" si="851"/>
        <v>-0.22296255973381801</v>
      </c>
    </row>
    <row r="194">
      <c r="A194">
        <f t="shared" si="849"/>
        <v>189</v>
      </c>
      <c r="B194">
        <v>0.25166944374552108</v>
      </c>
      <c r="C194" s="55">
        <f t="shared" si="850"/>
        <v>0.35917407700670401</v>
      </c>
      <c r="D194" s="55">
        <f t="shared" si="851"/>
        <v>0.26534551276893098</v>
      </c>
    </row>
    <row r="195">
      <c r="A195">
        <f t="shared" si="849"/>
        <v>190</v>
      </c>
      <c r="B195">
        <v>0.43286071337948046</v>
      </c>
      <c r="C195" s="55">
        <f t="shared" si="850"/>
        <v>0.33219293588127302</v>
      </c>
      <c r="D195" s="55">
        <f t="shared" si="851"/>
        <v>0.40237370819712803</v>
      </c>
    </row>
    <row r="196">
      <c r="A196">
        <f t="shared" si="849"/>
        <v>191</v>
      </c>
      <c r="B196">
        <v>0.45413848023264791</v>
      </c>
      <c r="C196" s="55">
        <f t="shared" si="850"/>
        <v>0.28099419488085597</v>
      </c>
      <c r="D196" s="55">
        <f t="shared" si="851"/>
        <v>0.42721904828027002</v>
      </c>
    </row>
    <row r="197">
      <c r="A197">
        <f t="shared" si="849"/>
        <v>192</v>
      </c>
      <c r="B197">
        <v>-1.3324825042722805e-02</v>
      </c>
      <c r="C197" s="55">
        <f t="shared" si="850"/>
        <v>-0.19498021713578201</v>
      </c>
      <c r="D197" s="55">
        <f t="shared" si="851"/>
        <v>-3.1769109051071998e-02</v>
      </c>
    </row>
    <row r="198">
      <c r="A198">
        <f t="shared" si="849"/>
        <v>193</v>
      </c>
      <c r="B198">
        <v>-0.24539323159004911</v>
      </c>
      <c r="C198" s="55">
        <f t="shared" si="850"/>
        <v>-0.24006330157295999</v>
      </c>
      <c r="D198" s="55">
        <f t="shared" si="851"/>
        <v>-0.222048447895488</v>
      </c>
    </row>
    <row r="199">
      <c r="A199">
        <f t="shared" si="849"/>
        <v>194</v>
      </c>
      <c r="B199">
        <v>3.6119098172010637e-02</v>
      </c>
      <c r="C199" s="55">
        <f t="shared" si="850"/>
        <v>0.134276390808031</v>
      </c>
      <c r="D199" s="55">
        <f t="shared" si="851"/>
        <v>6.114543654750601e-02</v>
      </c>
    </row>
    <row r="200">
      <c r="A200">
        <f t="shared" si="849"/>
        <v>195</v>
      </c>
      <c r="B200">
        <v>0.30217869836325728</v>
      </c>
      <c r="C200" s="55">
        <f t="shared" si="850"/>
        <v>0.28773105909445301</v>
      </c>
      <c r="D200" s="55">
        <f t="shared" si="851"/>
        <v>0.29264644213820001</v>
      </c>
    </row>
    <row r="201">
      <c r="A201">
        <f t="shared" si="849"/>
        <v>196</v>
      </c>
      <c r="B201">
        <v>0.23649227964160363</v>
      </c>
      <c r="C201" s="55">
        <f t="shared" si="850"/>
        <v>0.11562080029630099</v>
      </c>
      <c r="D201" s="55">
        <f t="shared" si="851"/>
        <v>0.21327434736380599</v>
      </c>
    </row>
    <row r="202">
      <c r="A202">
        <f t="shared" si="849"/>
        <v>197</v>
      </c>
      <c r="B202">
        <v>-0.70478339276739954</v>
      </c>
      <c r="C202" s="55">
        <f t="shared" si="850"/>
        <v>-0.79938030462404197</v>
      </c>
      <c r="D202" s="55">
        <f t="shared" si="851"/>
        <v>-0.71184957099151802</v>
      </c>
    </row>
    <row r="203">
      <c r="A203">
        <f t="shared" si="849"/>
        <v>198</v>
      </c>
      <c r="B203">
        <v>-0.30303035315709964</v>
      </c>
      <c r="C203" s="55">
        <f t="shared" si="850"/>
        <v>-2.1116996050139999e-02</v>
      </c>
      <c r="D203" s="55">
        <f t="shared" si="851"/>
        <v>-0.234777964271529</v>
      </c>
    </row>
    <row r="204">
      <c r="A204">
        <f t="shared" si="849"/>
        <v>199</v>
      </c>
      <c r="B204">
        <v>4.980264955195015e-02</v>
      </c>
      <c r="C204" s="55">
        <f t="shared" si="850"/>
        <v>0.17101479081479001</v>
      </c>
      <c r="D204" s="55">
        <f t="shared" si="851"/>
        <v>4.8955423130112002e-02</v>
      </c>
    </row>
    <row r="205">
      <c r="A205">
        <f t="shared" si="849"/>
        <v>200</v>
      </c>
      <c r="B205" s="14">
        <v>-1.0568000762886942</v>
      </c>
      <c r="C205" s="67">
        <f t="shared" si="850"/>
        <v>-1.07672113610947</v>
      </c>
      <c r="D205" s="67">
        <f t="shared" si="851"/>
        <v>-1.0765450638957701</v>
      </c>
    </row>
    <row r="207">
      <c r="B207" s="20" t="s">
        <v>561</v>
      </c>
    </row>
    <row r="208">
      <c r="B208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7232139999999996"/>
    <col customWidth="1" min="5" max="5" style="15" width="4"/>
    <col customWidth="1" min="6" max="6" width="7.8125"/>
    <col customWidth="1" min="8" max="8" width="5.5446429999999998"/>
    <col customWidth="1" min="10" max="10" width="12"/>
  </cols>
  <sheetData>
    <row r="1">
      <c r="A1" s="1" t="s">
        <v>565</v>
      </c>
    </row>
    <row r="2">
      <c r="A2" s="1"/>
    </row>
    <row r="3" ht="15" customHeight="1">
      <c r="A3" s="55"/>
      <c r="B3" s="58" t="s">
        <v>342</v>
      </c>
      <c r="C3" s="58" t="s">
        <v>343</v>
      </c>
      <c r="D3" s="58" t="s">
        <v>342</v>
      </c>
      <c r="E3" s="57"/>
      <c r="F3" s="57" t="s">
        <v>566</v>
      </c>
      <c r="G3" s="69">
        <v>0.12461049050933878</v>
      </c>
      <c r="I3" s="57" t="s">
        <v>567</v>
      </c>
      <c r="J3" s="7">
        <f t="shared" ref="J3:J5" si="852">ABS(G3)</f>
        <v>0.12461049050933901</v>
      </c>
      <c r="K3" t="s">
        <v>453</v>
      </c>
    </row>
    <row r="4" ht="15" customHeight="1">
      <c r="A4" s="55">
        <v>-2</v>
      </c>
      <c r="B4" s="55"/>
      <c r="C4" s="55"/>
      <c r="D4" s="55">
        <v>0</v>
      </c>
      <c r="E4" s="55"/>
      <c r="F4" s="57" t="s">
        <v>564</v>
      </c>
      <c r="G4" s="71">
        <v>-8.5953415454546253e-02</v>
      </c>
      <c r="I4" s="57" t="s">
        <v>568</v>
      </c>
      <c r="J4" s="10">
        <f t="shared" si="852"/>
        <v>8.5953415454546003e-02</v>
      </c>
      <c r="K4" t="s">
        <v>453</v>
      </c>
    </row>
    <row r="5" ht="15" customHeight="1">
      <c r="A5" s="55">
        <v>-1</v>
      </c>
      <c r="B5" s="55"/>
      <c r="C5" s="55"/>
      <c r="D5" s="55">
        <v>0</v>
      </c>
      <c r="E5" s="55"/>
      <c r="F5" s="57" t="s">
        <v>555</v>
      </c>
      <c r="G5" s="71">
        <v>-0.3429618242996173</v>
      </c>
      <c r="I5" s="57" t="s">
        <v>569</v>
      </c>
      <c r="J5" s="13">
        <f t="shared" si="852"/>
        <v>0.34296182429961702</v>
      </c>
      <c r="K5" t="s">
        <v>453</v>
      </c>
    </row>
    <row r="6" ht="15" customHeight="1">
      <c r="A6" s="55">
        <v>0</v>
      </c>
      <c r="B6" s="55"/>
      <c r="C6" s="55"/>
      <c r="D6" s="55">
        <v>0</v>
      </c>
      <c r="E6" s="55"/>
      <c r="F6" s="57" t="s">
        <v>457</v>
      </c>
      <c r="G6" s="72">
        <f>VARP(C8:C207)/(1+SUMSQ(G3:G5))</f>
        <v>0.188717624576</v>
      </c>
    </row>
    <row r="7" ht="15" customHeight="1">
      <c r="A7" s="55">
        <v>1</v>
      </c>
      <c r="B7" s="55">
        <v>-0.51207912635870179</v>
      </c>
      <c r="C7" s="55">
        <f>B7</f>
        <v>-0.51207912635870201</v>
      </c>
      <c r="D7" s="55">
        <f t="shared" ref="D7:D9" si="853">C7-SUMPRODUCT(D4:D6,G$3:G$5)</f>
        <v>-0.51207912635870201</v>
      </c>
      <c r="E7" s="57"/>
    </row>
    <row r="8" ht="15" customHeight="1">
      <c r="A8" s="55">
        <f t="shared" ref="A8:A10" si="854">A7+1</f>
        <v>2</v>
      </c>
      <c r="B8" s="55">
        <v>-0.36334374693531363</v>
      </c>
      <c r="C8" s="55">
        <f t="shared" ref="C8:C9" si="855">B8-0.4*B7</f>
        <v>-0.158512096391833</v>
      </c>
      <c r="D8" s="55">
        <f t="shared" si="853"/>
        <v>-0.334135687753568</v>
      </c>
      <c r="F8" s="15" t="s">
        <v>464</v>
      </c>
      <c r="G8" s="18">
        <f>SUMSQ(D7:D206)</f>
        <v>38.512205604205498</v>
      </c>
    </row>
    <row r="9" ht="15" customHeight="1">
      <c r="A9" s="55">
        <f t="shared" si="854"/>
        <v>3</v>
      </c>
      <c r="B9" s="55">
        <v>0.11192767204794296</v>
      </c>
      <c r="C9" s="55">
        <f t="shared" si="855"/>
        <v>0.25726517082206901</v>
      </c>
      <c r="D9" s="55">
        <f t="shared" si="853"/>
        <v>9.8654435892987002e-02</v>
      </c>
    </row>
    <row r="10" ht="15" customHeight="1">
      <c r="A10" s="55">
        <f t="shared" si="854"/>
        <v>4</v>
      </c>
      <c r="B10" s="55">
        <v>2.6947470072676359e-02</v>
      </c>
      <c r="C10" s="55">
        <f>B10-0.4*B9</f>
        <v>-1.7823598746500999e-02</v>
      </c>
      <c r="D10" s="55">
        <f>C10-SUMPRODUCT(D7:D9,G$3:G$5)</f>
        <v>5.1101434090086002e-02</v>
      </c>
    </row>
    <row r="11" ht="15" customHeight="1">
      <c r="A11" s="55">
        <f t="shared" ref="A11:A74" si="856">A10+1</f>
        <v>5</v>
      </c>
      <c r="B11" s="55">
        <v>-1.6753415454899442e-02</v>
      </c>
      <c r="C11" s="55">
        <f t="shared" ref="C11:C74" si="857">B11-0.4*B10</f>
        <v>-2.7532403483969004e-02</v>
      </c>
      <c r="D11" s="55">
        <f t="shared" ref="D11:D12" si="858">C11-SUMPRODUCT(D8:D10,G$3:G$5)</f>
        <v>4.0109935238284995e-02</v>
      </c>
    </row>
    <row r="12">
      <c r="A12" s="55">
        <f t="shared" si="856"/>
        <v>6</v>
      </c>
      <c r="B12" s="55">
        <v>8.1914358993839198e-02</v>
      </c>
      <c r="C12" s="55">
        <f t="shared" si="857"/>
        <v>8.8615725175799021e-02</v>
      </c>
      <c r="D12" s="55">
        <f t="shared" si="858"/>
        <v>9.4470866884781998e-02</v>
      </c>
    </row>
    <row r="13">
      <c r="A13" s="55">
        <f t="shared" si="856"/>
        <v>7</v>
      </c>
      <c r="B13" s="55">
        <v>0.63820678984685353</v>
      </c>
      <c r="C13" s="55">
        <f t="shared" si="857"/>
        <v>0.60544104624931805</v>
      </c>
      <c r="D13" s="55">
        <f t="shared" ref="D13:D76" si="859">C13-SUMPRODUCT(D10:D12,G$3:G$5)</f>
        <v>0.63492075825898397</v>
      </c>
    </row>
    <row r="14">
      <c r="A14" s="55">
        <f t="shared" si="856"/>
        <v>8</v>
      </c>
      <c r="B14" s="55">
        <v>0.13169322212412096</v>
      </c>
      <c r="C14" s="55">
        <f t="shared" si="857"/>
        <v>-0.123589493814621</v>
      </c>
      <c r="D14" s="55">
        <f t="shared" si="859"/>
        <v>9.7286062688934999e-02</v>
      </c>
    </row>
    <row r="15">
      <c r="A15" s="55">
        <f t="shared" si="856"/>
        <v>9</v>
      </c>
      <c r="B15" s="55">
        <v>-5.7137285520943486e-02</v>
      </c>
      <c r="C15" s="55">
        <f t="shared" si="857"/>
        <v>-0.10981457437059099</v>
      </c>
      <c r="D15" s="55">
        <f t="shared" si="859"/>
        <v>-3.3647622177871997e-02</v>
      </c>
    </row>
    <row r="16">
      <c r="A16" s="55">
        <f t="shared" si="856"/>
        <v>10</v>
      </c>
      <c r="B16" s="55">
        <v>0.54124755369311517</v>
      </c>
      <c r="C16" s="55">
        <f t="shared" si="857"/>
        <v>0.56410246790149199</v>
      </c>
      <c r="D16" s="55">
        <f t="shared" si="859"/>
        <v>0.48180690025904999</v>
      </c>
    </row>
    <row r="17">
      <c r="A17" s="55">
        <f t="shared" si="856"/>
        <v>11</v>
      </c>
      <c r="B17" s="55">
        <v>0.43912452837972638</v>
      </c>
      <c r="C17" s="55">
        <f t="shared" si="857"/>
        <v>0.22262550690248001</v>
      </c>
      <c r="D17" s="55">
        <f t="shared" si="859"/>
        <v>0.372851888335965</v>
      </c>
    </row>
    <row r="18">
      <c r="A18">
        <f t="shared" si="856"/>
        <v>12</v>
      </c>
      <c r="B18">
        <v>0.54883288339069092</v>
      </c>
      <c r="C18" s="55">
        <f t="shared" si="857"/>
        <v>0.37318307203880102</v>
      </c>
      <c r="D18" s="55">
        <f t="shared" si="859"/>
        <v>0.54666283122695203</v>
      </c>
    </row>
    <row r="19">
      <c r="A19">
        <f t="shared" si="856"/>
        <v>13</v>
      </c>
      <c r="B19">
        <v>0.85693829196286697</v>
      </c>
      <c r="C19" s="55">
        <f t="shared" si="857"/>
        <v>0.63740513860659098</v>
      </c>
      <c r="D19" s="55">
        <f t="shared" si="859"/>
        <v>0.79689931957006899</v>
      </c>
    </row>
    <row r="20">
      <c r="A20">
        <f t="shared" si="856"/>
        <v>14</v>
      </c>
      <c r="B20">
        <v>0.43225906999569402</v>
      </c>
      <c r="C20" s="55">
        <f t="shared" si="857"/>
        <v>8.9483753210546996e-02</v>
      </c>
      <c r="D20" s="55">
        <f t="shared" si="859"/>
        <v>0.363316078386553</v>
      </c>
    </row>
    <row r="21">
      <c r="A21">
        <f t="shared" si="856"/>
        <v>15</v>
      </c>
      <c r="B21">
        <v>-6.4599939622106764e-02</v>
      </c>
      <c r="C21" s="55">
        <f t="shared" si="857"/>
        <v>-0.23750356762038499</v>
      </c>
      <c r="D21" s="55">
        <f t="shared" si="859"/>
        <v>-0.11252372783151302</v>
      </c>
    </row>
    <row r="22">
      <c r="A22">
        <f t="shared" si="856"/>
        <v>16</v>
      </c>
      <c r="B22">
        <v>-0.20365610579624818</v>
      </c>
      <c r="C22" s="55">
        <f t="shared" si="857"/>
        <v>-0.177816129947405</v>
      </c>
      <c r="D22" s="55">
        <f t="shared" si="859"/>
        <v>-0.28448123019280303</v>
      </c>
    </row>
    <row r="23">
      <c r="A23">
        <f t="shared" si="856"/>
        <v>17</v>
      </c>
      <c r="B23">
        <v>-0.11232162753376858</v>
      </c>
      <c r="C23" s="55">
        <f t="shared" si="857"/>
        <v>-3.0859185215270001e-02</v>
      </c>
      <c r="D23" s="55">
        <f t="shared" si="859"/>
        <v>-0.18337018036566699</v>
      </c>
    </row>
    <row r="24">
      <c r="A24">
        <f t="shared" si="856"/>
        <v>18</v>
      </c>
      <c r="B24">
        <v>-0.12263390545953903</v>
      </c>
      <c r="C24" s="55">
        <f t="shared" si="857"/>
        <v>-7.7705254446031005e-02</v>
      </c>
      <c r="D24" s="55">
        <f t="shared" si="859"/>
        <v>-0.151024722475148</v>
      </c>
    </row>
    <row r="25">
      <c r="A25">
        <f t="shared" si="856"/>
        <v>19</v>
      </c>
      <c r="B25">
        <v>0.49972306363037761</v>
      </c>
      <c r="C25" s="55">
        <f t="shared" si="857"/>
        <v>0.54877662581419395</v>
      </c>
      <c r="D25" s="55">
        <f t="shared" si="859"/>
        <v>0.51666896381985405</v>
      </c>
    </row>
    <row r="26">
      <c r="A26">
        <f t="shared" si="856"/>
        <v>20</v>
      </c>
      <c r="B26">
        <v>-7.1075109664115246e-02</v>
      </c>
      <c r="C26" s="55">
        <f t="shared" si="857"/>
        <v>-0.270964335116266</v>
      </c>
      <c r="D26" s="55">
        <f t="shared" si="859"/>
        <v>-8.3897847320277996e-02</v>
      </c>
    </row>
    <row r="27">
      <c r="A27">
        <f t="shared" si="856"/>
        <v>21</v>
      </c>
      <c r="B27">
        <v>0.9239136154717118</v>
      </c>
      <c r="C27" s="55">
        <f t="shared" si="857"/>
        <v>0.95234365933735798</v>
      </c>
      <c r="D27" s="55">
        <f t="shared" si="859"/>
        <v>0.98679862741192803</v>
      </c>
    </row>
    <row r="28">
      <c r="A28">
        <f t="shared" si="856"/>
        <v>22</v>
      </c>
      <c r="B28">
        <v>0.15295754626692404</v>
      </c>
      <c r="C28" s="55">
        <f t="shared" si="857"/>
        <v>-0.21660789992176097</v>
      </c>
      <c r="D28" s="55">
        <f t="shared" si="859"/>
        <v>5.0232678012785997e-02</v>
      </c>
    </row>
    <row r="29">
      <c r="A29">
        <f t="shared" si="856"/>
        <v>23</v>
      </c>
      <c r="B29">
        <v>0.33328421180909706</v>
      </c>
      <c r="C29" s="55">
        <f t="shared" si="857"/>
        <v>0.27210119330232702</v>
      </c>
      <c r="D29" s="55">
        <f t="shared" si="859"/>
        <v>0.38460234849221803</v>
      </c>
    </row>
    <row r="30">
      <c r="A30">
        <f t="shared" si="856"/>
        <v>24</v>
      </c>
      <c r="B30">
        <v>0.18774221804470159</v>
      </c>
      <c r="C30" s="55">
        <f t="shared" si="857"/>
        <v>5.4428533321063004e-02</v>
      </c>
      <c r="D30" s="55">
        <f t="shared" si="859"/>
        <v>6.7684665636756e-02</v>
      </c>
    </row>
    <row r="31">
      <c r="A31">
        <f t="shared" si="856"/>
        <v>25</v>
      </c>
      <c r="B31">
        <v>0.22501409955220569</v>
      </c>
      <c r="C31" s="55">
        <f t="shared" si="857"/>
        <v>0.14991721233432501</v>
      </c>
      <c r="D31" s="55">
        <f t="shared" si="859"/>
        <v>0.19992883553619101</v>
      </c>
    </row>
    <row r="32">
      <c r="A32">
        <f t="shared" si="856"/>
        <v>26</v>
      </c>
      <c r="B32">
        <v>0.10138721615401489</v>
      </c>
      <c r="C32" s="55">
        <f t="shared" si="857"/>
        <v>1.1381576333133e-02</v>
      </c>
      <c r="D32" s="55">
        <f t="shared" si="859"/>
        <v>3.7841775387442003e-02</v>
      </c>
    </row>
    <row r="33">
      <c r="A33">
        <f t="shared" si="856"/>
        <v>27</v>
      </c>
      <c r="B33">
        <v>0.16772638439529056</v>
      </c>
      <c r="C33" s="55">
        <f t="shared" si="857"/>
        <v>0.12717149793368501</v>
      </c>
      <c r="D33" s="55">
        <f t="shared" si="859"/>
        <v>0.14890012913252801</v>
      </c>
    </row>
    <row r="34">
      <c r="A34">
        <f t="shared" si="856"/>
        <v>28</v>
      </c>
      <c r="B34">
        <v>-0.31651644142481467</v>
      </c>
      <c r="C34" s="55">
        <f t="shared" si="857"/>
        <v>-0.38360699518293101</v>
      </c>
      <c r="D34" s="55">
        <f t="shared" si="859"/>
        <v>-0.35420053567890197</v>
      </c>
    </row>
    <row r="35">
      <c r="A35">
        <f t="shared" si="856"/>
        <v>29</v>
      </c>
      <c r="B35">
        <v>-0.5906899743325249</v>
      </c>
      <c r="C35" s="55">
        <f t="shared" si="857"/>
        <v>-0.46408339776259899</v>
      </c>
      <c r="D35" s="55">
        <f t="shared" si="859"/>
        <v>-0.57747766717914695</v>
      </c>
    </row>
    <row r="36">
      <c r="A36">
        <f t="shared" si="856"/>
        <v>30</v>
      </c>
      <c r="B36">
        <v>0.3060210831404202</v>
      </c>
      <c r="C36" s="55">
        <f t="shared" si="857"/>
        <v>0.54229707287342999</v>
      </c>
      <c r="D36" s="55">
        <f t="shared" si="859"/>
        <v>0.29524501471984299</v>
      </c>
    </row>
    <row r="37">
      <c r="A37">
        <f t="shared" si="856"/>
        <v>31</v>
      </c>
      <c r="B37">
        <v>-0.62752248082675643</v>
      </c>
      <c r="C37" s="55">
        <f t="shared" si="857"/>
        <v>-0.749930914082925</v>
      </c>
      <c r="D37" s="55">
        <f t="shared" si="859"/>
        <v>-0.65417222057239299</v>
      </c>
    </row>
    <row r="38">
      <c r="A38">
        <f t="shared" si="856"/>
        <v>32</v>
      </c>
      <c r="B38">
        <v>0.23702118556121193</v>
      </c>
      <c r="C38" s="55">
        <f t="shared" si="857"/>
        <v>0.488030177891915</v>
      </c>
      <c r="D38" s="55">
        <f t="shared" si="859"/>
        <v>0.36101117249475601</v>
      </c>
    </row>
    <row r="39">
      <c r="A39">
        <f t="shared" si="856"/>
        <v>33</v>
      </c>
      <c r="B39">
        <v>-9.8704944770256611e-02</v>
      </c>
      <c r="C39" s="55">
        <f t="shared" si="857"/>
        <v>-0.193513418994742</v>
      </c>
      <c r="D39" s="55">
        <f t="shared" si="859"/>
        <v>-0.16271933144175499</v>
      </c>
    </row>
    <row r="40">
      <c r="A40">
        <f t="shared" si="856"/>
        <v>34</v>
      </c>
      <c r="B40">
        <v>0.33462467270222163</v>
      </c>
      <c r="C40" s="55">
        <f t="shared" si="857"/>
        <v>0.374106650610325</v>
      </c>
      <c r="D40" s="55">
        <f t="shared" si="859"/>
        <v>0.43084699642653101</v>
      </c>
    </row>
    <row r="41">
      <c r="A41">
        <f t="shared" si="856"/>
        <v>35</v>
      </c>
      <c r="B41">
        <v>7.6903283588442367e-02</v>
      </c>
      <c r="C41" s="55">
        <f t="shared" si="857"/>
        <v>-5.6946585492447001e-02</v>
      </c>
      <c r="D41" s="55">
        <f t="shared" si="859"/>
        <v>3.1845424814185001e-02</v>
      </c>
    </row>
    <row r="42">
      <c r="A42">
        <f t="shared" si="856"/>
        <v>36</v>
      </c>
      <c r="B42">
        <v>-0.31754085082588029</v>
      </c>
      <c r="C42" s="55">
        <f t="shared" si="857"/>
        <v>-0.34830216426125699</v>
      </c>
      <c r="D42" s="55">
        <f t="shared" si="859"/>
        <v>-0.28007109268388602</v>
      </c>
    </row>
    <row r="43">
      <c r="A43">
        <f t="shared" si="856"/>
        <v>37</v>
      </c>
      <c r="B43">
        <v>-0.25419372210868718</v>
      </c>
      <c r="C43" s="55">
        <f t="shared" si="857"/>
        <v>-0.12717738177833501</v>
      </c>
      <c r="D43" s="55">
        <f t="shared" si="859"/>
        <v>-0.27418190718859298</v>
      </c>
    </row>
    <row r="44">
      <c r="A44">
        <f t="shared" si="856"/>
        <v>38</v>
      </c>
      <c r="B44">
        <v>0.62604102360566283</v>
      </c>
      <c r="C44" s="55">
        <f t="shared" si="857"/>
        <v>0.72771851244913799</v>
      </c>
      <c r="D44" s="55">
        <f t="shared" si="859"/>
        <v>0.60564324437694905</v>
      </c>
    </row>
    <row r="45">
      <c r="A45">
        <f t="shared" si="856"/>
        <v>39</v>
      </c>
      <c r="B45">
        <v>0.65942009251344469</v>
      </c>
      <c r="C45" s="55">
        <f t="shared" si="857"/>
        <v>0.40900368307118001</v>
      </c>
      <c r="D45" s="55">
        <f t="shared" si="859"/>
        <v>0.628049119895562</v>
      </c>
    </row>
    <row r="46">
      <c r="A46">
        <f t="shared" si="856"/>
        <v>40</v>
      </c>
      <c r="B46">
        <v>3.9187187377916322e-02</v>
      </c>
      <c r="C46" s="55">
        <f t="shared" si="857"/>
        <v>-0.224580849627462</v>
      </c>
      <c r="D46" s="55">
        <f t="shared" si="859"/>
        <v>7.7039069626416989e-02</v>
      </c>
    </row>
    <row r="47">
      <c r="A47">
        <f t="shared" si="856"/>
        <v>41</v>
      </c>
      <c r="B47">
        <v>0.17389833870797153</v>
      </c>
      <c r="C47" s="55">
        <f t="shared" si="857"/>
        <v>0.15822346375680599</v>
      </c>
      <c r="D47" s="55">
        <f t="shared" si="859"/>
        <v>0.16315838879099401</v>
      </c>
    </row>
    <row r="48">
      <c r="A48">
        <f t="shared" si="856"/>
        <v>42</v>
      </c>
      <c r="B48">
        <v>-0.11526190497676622</v>
      </c>
      <c r="C48" s="55">
        <f t="shared" si="857"/>
        <v>-0.18482124045995499</v>
      </c>
      <c r="D48" s="55">
        <f t="shared" si="859"/>
        <v>-0.20050387952672297</v>
      </c>
    </row>
    <row r="49">
      <c r="A49">
        <f t="shared" si="856"/>
        <v>43</v>
      </c>
      <c r="B49">
        <v>-0.30619159093863518</v>
      </c>
      <c r="C49" s="55">
        <f t="shared" si="857"/>
        <v>-0.26008682894792901</v>
      </c>
      <c r="D49" s="55">
        <f t="shared" si="859"/>
        <v>-0.324427860727449</v>
      </c>
    </row>
    <row r="50">
      <c r="A50">
        <f t="shared" si="856"/>
        <v>44</v>
      </c>
      <c r="B50">
        <v>0.13241610578810847</v>
      </c>
      <c r="C50" s="55">
        <f t="shared" si="857"/>
        <v>0.254892742163562</v>
      </c>
      <c r="D50" s="55">
        <f t="shared" si="859"/>
        <v>0.106061131079686</v>
      </c>
    </row>
    <row r="51">
      <c r="A51">
        <f t="shared" si="856"/>
        <v>45</v>
      </c>
      <c r="B51">
        <v>-0.54694148767811068</v>
      </c>
      <c r="C51" s="55">
        <f t="shared" si="857"/>
        <v>-0.59990792999335396</v>
      </c>
      <c r="D51" s="55">
        <f t="shared" si="859"/>
        <v>-0.56643380691226997</v>
      </c>
    </row>
    <row r="52">
      <c r="A52">
        <f t="shared" si="856"/>
        <v>46</v>
      </c>
      <c r="B52">
        <v>7.5804716770691852e-02</v>
      </c>
      <c r="C52" s="55">
        <f t="shared" si="857"/>
        <v>0.29458131184193598</v>
      </c>
      <c r="D52" s="55">
        <f t="shared" si="859"/>
        <v>0.149859571401741</v>
      </c>
    </row>
    <row r="53">
      <c r="A53">
        <f t="shared" si="856"/>
        <v>47</v>
      </c>
      <c r="B53">
        <v>-1.3805346031133389e-02</v>
      </c>
      <c r="C53" s="55">
        <f t="shared" si="857"/>
        <v>-4.4127232739410001e-02</v>
      </c>
      <c r="D53" s="55">
        <f t="shared" si="859"/>
        <v>-5.4634370643556009e-02</v>
      </c>
    </row>
    <row r="54">
      <c r="A54">
        <f t="shared" si="856"/>
        <v>48</v>
      </c>
      <c r="B54">
        <v>0.33052630065869121</v>
      </c>
      <c r="C54" s="55">
        <f t="shared" si="857"/>
        <v>0.33604843907114401</v>
      </c>
      <c r="D54" s="55">
        <f t="shared" si="859"/>
        <v>0.400775472166713</v>
      </c>
    </row>
    <row r="55">
      <c r="A55">
        <f t="shared" si="856"/>
        <v>49</v>
      </c>
      <c r="B55">
        <v>6.3089327347226012e-02</v>
      </c>
      <c r="C55" s="55">
        <f t="shared" si="857"/>
        <v>-6.9121192916250004e-02</v>
      </c>
      <c r="D55" s="55">
        <f t="shared" si="859"/>
        <v>4.4959408694672999e-02</v>
      </c>
    </row>
    <row r="56">
      <c r="A56">
        <f t="shared" si="856"/>
        <v>50</v>
      </c>
      <c r="B56">
        <v>-0.26048714702548137</v>
      </c>
      <c r="C56" s="55">
        <f t="shared" si="857"/>
        <v>-0.28572287796437101</v>
      </c>
      <c r="D56" s="55">
        <f t="shared" si="859"/>
        <v>-0.22904748075131401</v>
      </c>
    </row>
    <row r="57">
      <c r="A57">
        <f t="shared" si="856"/>
        <v>51</v>
      </c>
      <c r="B57">
        <v>0.64674810862294951</v>
      </c>
      <c r="C57" s="55">
        <f t="shared" si="857"/>
        <v>0.75094296743314204</v>
      </c>
      <c r="D57" s="55">
        <f t="shared" si="859"/>
        <v>0.62631201214675802</v>
      </c>
    </row>
    <row r="58">
      <c r="A58">
        <f t="shared" si="856"/>
        <v>52</v>
      </c>
      <c r="B58">
        <v>0.70366243241228776</v>
      </c>
      <c r="C58" s="55">
        <f t="shared" si="857"/>
        <v>0.44496318896310799</v>
      </c>
      <c r="D58" s="55">
        <f t="shared" si="859"/>
        <v>0.63447447198743601</v>
      </c>
    </row>
    <row r="59">
      <c r="A59">
        <f t="shared" si="856"/>
        <v>53</v>
      </c>
      <c r="B59">
        <v>4.8029876219132531e-02</v>
      </c>
      <c r="C59" s="55">
        <f t="shared" si="857"/>
        <v>-0.23343509674578203</v>
      </c>
      <c r="D59" s="55">
        <f t="shared" si="859"/>
        <v>6.6540801149138004e-02</v>
      </c>
    </row>
    <row r="60">
      <c r="A60">
        <f t="shared" si="856"/>
        <v>54</v>
      </c>
      <c r="B60">
        <v>0.51735363915428412</v>
      </c>
      <c r="C60" s="55">
        <f t="shared" si="857"/>
        <v>0.49814168866663094</v>
      </c>
      <c r="D60" s="55">
        <f t="shared" si="859"/>
        <v>0.49745284405963897</v>
      </c>
    </row>
    <row r="61">
      <c r="A61">
        <f t="shared" si="856"/>
        <v>55</v>
      </c>
      <c r="B61">
        <v>0.16904804283569394</v>
      </c>
      <c r="C61" s="55">
        <f t="shared" si="857"/>
        <v>-3.7893412826019997e-02</v>
      </c>
      <c r="D61" s="55">
        <f t="shared" si="859"/>
        <v>5.9371156031548994e-02</v>
      </c>
    </row>
    <row r="62">
      <c r="A62">
        <f t="shared" si="856"/>
        <v>56</v>
      </c>
      <c r="B62">
        <v>0.87765490133672563</v>
      </c>
      <c r="C62" s="55">
        <f t="shared" si="857"/>
        <v>0.81003568420244798</v>
      </c>
      <c r="D62" s="55">
        <f t="shared" si="859"/>
        <v>0.86486381329023099</v>
      </c>
    </row>
    <row r="63">
      <c r="A63">
        <f t="shared" si="856"/>
        <v>57</v>
      </c>
      <c r="B63">
        <v>0.13484802117187897</v>
      </c>
      <c r="C63" s="55">
        <f t="shared" si="857"/>
        <v>-0.216213939362811</v>
      </c>
      <c r="D63" s="55">
        <f t="shared" si="859"/>
        <v>2.3516642550788999e-02</v>
      </c>
    </row>
    <row r="64">
      <c r="A64">
        <f t="shared" si="856"/>
        <v>58</v>
      </c>
      <c r="B64">
        <v>0.27471421248229122</v>
      </c>
      <c r="C64" s="55">
        <f t="shared" si="857"/>
        <v>0.220775004013539</v>
      </c>
      <c r="D64" s="55">
        <f t="shared" si="859"/>
        <v>0.2957800444243</v>
      </c>
    </row>
    <row r="65">
      <c r="A65">
        <f t="shared" si="856"/>
        <v>59</v>
      </c>
      <c r="B65">
        <v>0.7504454867726611</v>
      </c>
      <c r="C65" s="55">
        <f t="shared" si="857"/>
        <v>0.64055980177974503</v>
      </c>
      <c r="D65" s="55">
        <f t="shared" si="859"/>
        <v>0.63625129715631601</v>
      </c>
    </row>
    <row r="66">
      <c r="A66">
        <f t="shared" si="856"/>
        <v>60</v>
      </c>
      <c r="B66">
        <v>0.43224327377155569</v>
      </c>
      <c r="C66" s="55">
        <f t="shared" si="857"/>
        <v>0.13206507906249201</v>
      </c>
      <c r="D66" s="55">
        <f t="shared" si="859"/>
        <v>0.37276786932639899</v>
      </c>
    </row>
    <row r="67">
      <c r="A67">
        <f t="shared" si="856"/>
        <v>61</v>
      </c>
      <c r="B67">
        <v>-3.9059421132505837e-02</v>
      </c>
      <c r="C67" s="55">
        <f t="shared" si="857"/>
        <v>-0.21195673064112799</v>
      </c>
      <c r="D67" s="55">
        <f t="shared" si="859"/>
        <v>-6.6280906477279994e-02</v>
      </c>
    </row>
    <row r="68">
      <c r="A68">
        <f t="shared" si="856"/>
        <v>62</v>
      </c>
      <c r="B68">
        <v>-0.50717404197370719</v>
      </c>
      <c r="C68" s="55">
        <f t="shared" si="857"/>
        <v>-0.49155027352070502</v>
      </c>
      <c r="D68" s="55">
        <f t="shared" si="859"/>
        <v>-0.561525008807919</v>
      </c>
    </row>
    <row r="69">
      <c r="A69">
        <f t="shared" si="856"/>
        <v>63</v>
      </c>
      <c r="B69">
        <v>0.51960944946831655</v>
      </c>
      <c r="C69" s="55">
        <f t="shared" si="857"/>
        <v>0.72247906625780001</v>
      </c>
      <c r="D69" s="55">
        <f t="shared" si="859"/>
        <v>0.47774956751314795</v>
      </c>
    </row>
    <row r="70">
      <c r="A70">
        <f t="shared" si="856"/>
        <v>64</v>
      </c>
      <c r="B70">
        <v>-0.26181646538481168</v>
      </c>
      <c r="C70" s="55">
        <f t="shared" si="857"/>
        <v>-0.46966024517213895</v>
      </c>
      <c r="D70" s="55">
        <f t="shared" si="859"/>
        <v>-0.345816078042124</v>
      </c>
    </row>
    <row r="71">
      <c r="A71">
        <f t="shared" si="856"/>
        <v>65</v>
      </c>
      <c r="B71">
        <v>-0.13816887905714118</v>
      </c>
      <c r="C71" s="55">
        <f t="shared" si="857"/>
        <v>-3.3442292903216e-02</v>
      </c>
      <c r="D71" s="55">
        <f t="shared" si="859"/>
        <v>-4.1007892060178991e-02</v>
      </c>
    </row>
    <row r="72">
      <c r="A72">
        <f t="shared" si="856"/>
        <v>66</v>
      </c>
      <c r="B72">
        <v>-9.6577054658605055e-02</v>
      </c>
      <c r="C72" s="55">
        <f t="shared" si="857"/>
        <v>-4.1309503035748998e-02</v>
      </c>
      <c r="D72" s="55">
        <f t="shared" si="859"/>
        <v>-0.14463032548264401</v>
      </c>
    </row>
    <row r="73">
      <c r="A73">
        <f t="shared" si="856"/>
        <v>67</v>
      </c>
      <c r="B73">
        <v>5.7370588729134822e-02</v>
      </c>
      <c r="C73" s="55">
        <f t="shared" si="857"/>
        <v>9.6001410592576997e-02</v>
      </c>
      <c r="D73" s="55">
        <f t="shared" si="859"/>
        <v>8.5966273043682997e-02</v>
      </c>
    </row>
    <row r="74">
      <c r="A74">
        <f t="shared" si="856"/>
        <v>68</v>
      </c>
      <c r="B74">
        <v>-0.17149698873547628</v>
      </c>
      <c r="C74" s="55">
        <f t="shared" si="857"/>
        <v>-0.19444522422713001</v>
      </c>
      <c r="D74" s="55">
        <f t="shared" si="859"/>
        <v>-0.17228353130499199</v>
      </c>
    </row>
    <row r="75">
      <c r="A75">
        <f t="shared" ref="A75:A100" si="860">A74+1</f>
        <v>69</v>
      </c>
      <c r="B75">
        <v>-0.26611226014777861</v>
      </c>
      <c r="C75" s="55">
        <f t="shared" ref="C75:C99" si="861">B75-0.4*B74</f>
        <v>-0.19751346465358899</v>
      </c>
      <c r="D75" s="55">
        <f t="shared" si="859"/>
        <v>-0.231188588263809</v>
      </c>
    </row>
    <row r="76">
      <c r="A76">
        <f t="shared" si="860"/>
        <v>70</v>
      </c>
      <c r="B76">
        <v>0.18782245949059648</v>
      </c>
      <c r="C76" s="55">
        <f t="shared" si="861"/>
        <v>0.294267363549709</v>
      </c>
      <c r="D76" s="55">
        <f t="shared" si="859"/>
        <v>0.18945784616803299</v>
      </c>
    </row>
    <row r="77">
      <c r="A77">
        <f t="shared" si="860"/>
        <v>71</v>
      </c>
      <c r="B77">
        <v>0.41543305078380388</v>
      </c>
      <c r="C77" s="55">
        <f t="shared" si="861"/>
        <v>0.34030406698756499</v>
      </c>
      <c r="D77" s="55">
        <f t="shared" ref="D77:D99" si="862">C77-SUMPRODUCT(D74:D76,G$3:G$5)</f>
        <v>0.40687776210443694</v>
      </c>
    </row>
    <row r="78">
      <c r="A78">
        <f t="shared" si="860"/>
        <v>72</v>
      </c>
      <c r="B78">
        <v>0.70353176573511111</v>
      </c>
      <c r="C78" s="55">
        <f t="shared" si="861"/>
        <v>0.53735854542158901</v>
      </c>
      <c r="D78" s="55">
        <f t="shared" si="862"/>
        <v>0.72199515732639197</v>
      </c>
    </row>
    <row r="79">
      <c r="A79">
        <f t="shared" si="860"/>
        <v>73</v>
      </c>
      <c r="B79">
        <v>-0.3952458411406039</v>
      </c>
      <c r="C79" s="55">
        <f t="shared" si="861"/>
        <v>-0.67665854743464804</v>
      </c>
      <c r="D79" s="55">
        <f t="shared" si="862"/>
        <v>-0.41767767295896202</v>
      </c>
    </row>
    <row r="80">
      <c r="A80">
        <f t="shared" si="860"/>
        <v>74</v>
      </c>
      <c r="B80">
        <v>-0.51964111108785283</v>
      </c>
      <c r="C80" s="55">
        <f t="shared" si="861"/>
        <v>-0.361542774631611</v>
      </c>
      <c r="D80" s="55">
        <f t="shared" si="862"/>
        <v>-0.493433559118166</v>
      </c>
    </row>
    <row r="81">
      <c r="A81">
        <f t="shared" si="860"/>
        <v>75</v>
      </c>
      <c r="B81">
        <v>0.14942689895794989</v>
      </c>
      <c r="C81" s="55">
        <f t="shared" si="861"/>
        <v>0.35728334339309098</v>
      </c>
      <c r="D81" s="55">
        <f t="shared" si="862"/>
        <v>6.2185476537533008e-02</v>
      </c>
    </row>
    <row r="82">
      <c r="A82">
        <f t="shared" si="860"/>
        <v>76</v>
      </c>
      <c r="B82">
        <v>0.46561919595619383</v>
      </c>
      <c r="C82" s="55">
        <f t="shared" si="861"/>
        <v>0.40584843637301404</v>
      </c>
      <c r="D82" s="55">
        <f t="shared" si="862"/>
        <v>0.43681040084738398</v>
      </c>
    </row>
    <row r="83">
      <c r="A83">
        <f t="shared" si="860"/>
        <v>77</v>
      </c>
      <c r="B83">
        <v>0.28518260718846278</v>
      </c>
      <c r="C83" s="55">
        <f t="shared" si="861"/>
        <v>9.8934928805985006e-02</v>
      </c>
      <c r="D83" s="55">
        <f t="shared" si="862"/>
        <v>0.31557627268920402</v>
      </c>
    </row>
    <row r="84">
      <c r="A84">
        <f t="shared" si="860"/>
        <v>78</v>
      </c>
      <c r="B84">
        <v>-0.79657845002233552</v>
      </c>
      <c r="C84" s="55">
        <f t="shared" si="861"/>
        <v>-0.91065149289772085</v>
      </c>
      <c r="D84" s="55">
        <f t="shared" si="862"/>
        <v>-0.77262449558555502</v>
      </c>
    </row>
    <row r="85">
      <c r="A85">
        <f t="shared" si="860"/>
        <v>79</v>
      </c>
      <c r="B85">
        <v>0.2948278254332069</v>
      </c>
      <c r="C85" s="55">
        <f t="shared" si="861"/>
        <v>0.61345920544214105</v>
      </c>
      <c r="D85" s="55">
        <f t="shared" si="862"/>
        <v>0.321172199102426</v>
      </c>
    </row>
    <row r="86">
      <c r="A86">
        <f t="shared" si="860"/>
        <v>80</v>
      </c>
      <c r="B86">
        <v>-0.45924627456910311</v>
      </c>
      <c r="C86" s="55">
        <f t="shared" si="861"/>
        <v>-0.57717740474238599</v>
      </c>
      <c r="D86" s="55">
        <f t="shared" si="862"/>
        <v>-0.57276142981623301</v>
      </c>
    </row>
    <row r="87">
      <c r="A87">
        <f t="shared" si="860"/>
        <v>81</v>
      </c>
      <c r="B87">
        <v>-6.2314962980168337e-02</v>
      </c>
      <c r="C87" s="55">
        <f t="shared" si="861"/>
        <v>0.12138354684747302</v>
      </c>
      <c r="D87" s="55">
        <f t="shared" si="862"/>
        <v>4.8831206825588003e-02</v>
      </c>
    </row>
    <row r="88">
      <c r="A88">
        <f t="shared" si="860"/>
        <v>82</v>
      </c>
      <c r="B88">
        <v>-0.67254194699176528</v>
      </c>
      <c r="C88" s="55">
        <f t="shared" si="861"/>
        <v>-0.64761596179969805</v>
      </c>
      <c r="D88" s="55">
        <f t="shared" si="862"/>
        <v>-0.72012094842549301</v>
      </c>
    </row>
    <row r="89">
      <c r="A89">
        <f t="shared" si="860"/>
        <v>83</v>
      </c>
      <c r="B89">
        <v>-0.36329102577914368</v>
      </c>
      <c r="C89" s="55">
        <f t="shared" si="861"/>
        <v>-9.4274246982438012e-02</v>
      </c>
      <c r="D89" s="55">
        <f t="shared" si="862"/>
        <v>-0.26567894944915799</v>
      </c>
    </row>
    <row r="90">
      <c r="A90">
        <f t="shared" si="860"/>
        <v>84</v>
      </c>
      <c r="B90">
        <v>0.24488281260528305</v>
      </c>
      <c r="C90" s="55">
        <f t="shared" si="861"/>
        <v>0.39019922291694098</v>
      </c>
      <c r="D90" s="55">
        <f t="shared" si="862"/>
        <v>0.23109975004361399</v>
      </c>
    </row>
    <row r="91">
      <c r="A91">
        <f t="shared" si="860"/>
        <v>85</v>
      </c>
      <c r="B91">
        <v>0.34561225352951408</v>
      </c>
      <c r="C91" s="55">
        <f t="shared" si="861"/>
        <v>0.24765912848740096</v>
      </c>
      <c r="D91" s="55">
        <f t="shared" si="862"/>
        <v>0.39381613184736503</v>
      </c>
    </row>
    <row r="92">
      <c r="A92">
        <f t="shared" si="860"/>
        <v>86</v>
      </c>
      <c r="B92">
        <v>0.40011886698200072</v>
      </c>
      <c r="C92" s="55">
        <f t="shared" si="861"/>
        <v>0.26187396557019499</v>
      </c>
      <c r="D92" s="55">
        <f t="shared" si="862"/>
        <v>0.44990806162299196</v>
      </c>
    </row>
    <row r="93">
      <c r="A93">
        <f t="shared" si="860"/>
        <v>87</v>
      </c>
      <c r="B93">
        <v>-0.10067849717756343</v>
      </c>
      <c r="C93" s="55">
        <f t="shared" si="861"/>
        <v>-0.26072604397036298</v>
      </c>
      <c r="D93" s="55">
        <f t="shared" si="862"/>
        <v>-0.101372366005178</v>
      </c>
    </row>
    <row r="94">
      <c r="A94">
        <f t="shared" si="860"/>
        <v>88</v>
      </c>
      <c r="B94">
        <v>0.24606536316588329</v>
      </c>
      <c r="C94" s="55">
        <f t="shared" si="861"/>
        <v>0.286336762036908</v>
      </c>
      <c r="D94" s="55">
        <f t="shared" si="862"/>
        <v>0.24116742363524399</v>
      </c>
    </row>
    <row r="95">
      <c r="A95">
        <f t="shared" si="860"/>
        <v>89</v>
      </c>
      <c r="B95">
        <v>0.12154161546185811</v>
      </c>
      <c r="C95" s="55">
        <f t="shared" si="861"/>
        <v>2.3115470195505e-02</v>
      </c>
      <c r="D95" s="55">
        <f t="shared" si="862"/>
        <v>4.1050124433286997e-02</v>
      </c>
    </row>
    <row r="96">
      <c r="A96">
        <f t="shared" si="860"/>
        <v>90</v>
      </c>
      <c r="B96">
        <v>-0.64956989756150918</v>
      </c>
      <c r="C96" s="55">
        <f t="shared" si="861"/>
        <v>-0.698186543746252</v>
      </c>
      <c r="D96" s="55">
        <f t="shared" si="862"/>
        <v>-0.65074669417306497</v>
      </c>
    </row>
    <row r="97">
      <c r="A97">
        <f t="shared" si="860"/>
        <v>91</v>
      </c>
      <c r="B97">
        <v>0.6011857555182194</v>
      </c>
      <c r="C97" s="55">
        <f t="shared" si="861"/>
        <v>0.86101371454282405</v>
      </c>
      <c r="D97" s="55">
        <f t="shared" si="862"/>
        <v>0.61130884859809798</v>
      </c>
    </row>
    <row r="98">
      <c r="A98">
        <f t="shared" si="860"/>
        <v>92</v>
      </c>
      <c r="B98">
        <v>0.44718607623193696</v>
      </c>
      <c r="C98" s="55">
        <f t="shared" si="861"/>
        <v>0.20671177402464899</v>
      </c>
      <c r="D98" s="55">
        <f t="shared" si="862"/>
        <v>0.35531819484931998</v>
      </c>
    </row>
    <row r="99">
      <c r="A99">
        <f t="shared" si="860"/>
        <v>93</v>
      </c>
      <c r="B99">
        <v>-7.9606486546142483e-02</v>
      </c>
      <c r="C99" s="55">
        <f t="shared" si="861"/>
        <v>-0.25848091703891701</v>
      </c>
      <c r="D99" s="55">
        <f t="shared" si="862"/>
        <v>-2.986392533718e-03</v>
      </c>
    </row>
    <row r="100">
      <c r="A100">
        <f t="shared" si="860"/>
        <v>94</v>
      </c>
      <c r="B100">
        <v>0.14220353155740251</v>
      </c>
      <c r="C100" s="55">
        <f>B100-0.4*B99</f>
        <v>0.17404612617585999</v>
      </c>
      <c r="D100" s="55">
        <f>C100-SUMPRODUCT(D97:D99,G$3:G$5)</f>
        <v>0.12738722448835599</v>
      </c>
    </row>
    <row r="101">
      <c r="A101">
        <f t="shared" ref="A101:A164" si="863">A100+1</f>
        <v>95</v>
      </c>
      <c r="B101">
        <v>0.77169994942716336</v>
      </c>
      <c r="C101" s="55">
        <f t="shared" ref="C101:C164" si="864">B101-0.4*B100</f>
        <v>0.71481853680420204</v>
      </c>
      <c r="D101" s="55">
        <f t="shared" ref="D101:D102" si="865">C101-SUMPRODUCT(D98:D100,G$3:G$5)</f>
        <v>0.71397442652196597</v>
      </c>
    </row>
    <row r="102">
      <c r="A102">
        <f t="shared" si="863"/>
        <v>96</v>
      </c>
      <c r="B102">
        <v>-0.12293261993415876</v>
      </c>
      <c r="C102" s="55">
        <f t="shared" si="864"/>
        <v>-0.43161259970502402</v>
      </c>
      <c r="D102" s="55">
        <f t="shared" si="865"/>
        <v>-0.175425125013248</v>
      </c>
    </row>
    <row r="103">
      <c r="A103">
        <f t="shared" si="863"/>
        <v>97</v>
      </c>
      <c r="B103">
        <v>0.46496436932208718</v>
      </c>
      <c r="C103" s="55">
        <f t="shared" si="864"/>
        <v>0.51413741729575102</v>
      </c>
      <c r="D103" s="55">
        <f t="shared" ref="D103:D166" si="866">C103-SUMPRODUCT(D100:D102,G$3:G$5)</f>
        <v>0.49946805237186603</v>
      </c>
    </row>
    <row r="104">
      <c r="A104">
        <f t="shared" si="863"/>
        <v>98</v>
      </c>
      <c r="B104">
        <v>0.31875260921576248</v>
      </c>
      <c r="C104" s="55">
        <f t="shared" si="864"/>
        <v>0.13276686148692801</v>
      </c>
      <c r="D104" s="55">
        <f t="shared" si="866"/>
        <v>0.200018243756305</v>
      </c>
    </row>
    <row r="105">
      <c r="A105">
        <f t="shared" si="863"/>
        <v>99</v>
      </c>
      <c r="B105">
        <v>-0.48810125234772339</v>
      </c>
      <c r="C105" s="55">
        <f t="shared" si="864"/>
        <v>-0.61560229603402805</v>
      </c>
      <c r="D105" s="55">
        <f t="shared" si="866"/>
        <v>-0.48221287837480498</v>
      </c>
    </row>
    <row r="106">
      <c r="A106">
        <f t="shared" si="863"/>
        <v>100</v>
      </c>
      <c r="B106">
        <v>-0.25274879361122082</v>
      </c>
      <c r="C106" s="55">
        <f t="shared" si="864"/>
        <v>-5.7508292672132005e-02</v>
      </c>
      <c r="D106" s="55">
        <f t="shared" si="866"/>
        <v>-0.267935608936053</v>
      </c>
    </row>
    <row r="107">
      <c r="A107">
        <f t="shared" si="863"/>
        <v>101</v>
      </c>
      <c r="B107">
        <v>0.54117532652533118</v>
      </c>
      <c r="C107" s="55">
        <f t="shared" si="864"/>
        <v>0.64227484396981904</v>
      </c>
      <c r="D107" s="55">
        <f t="shared" si="866"/>
        <v>0.48401094339651002</v>
      </c>
    </row>
    <row r="108">
      <c r="A108">
        <f t="shared" si="863"/>
        <v>102</v>
      </c>
      <c r="B108">
        <v>0.41588929488972981</v>
      </c>
      <c r="C108" s="55">
        <f t="shared" si="864"/>
        <v>0.19941916427959799</v>
      </c>
      <c r="D108" s="55">
        <f t="shared" si="866"/>
        <v>0.40247524300210102</v>
      </c>
    </row>
    <row r="109">
      <c r="A109">
        <f t="shared" si="863"/>
        <v>103</v>
      </c>
      <c r="B109">
        <v>0.16041617374482156</v>
      </c>
      <c r="C109" s="55">
        <f t="shared" si="864"/>
        <v>-5.9395442110700006e-03</v>
      </c>
      <c r="D109" s="55">
        <f t="shared" si="866"/>
        <v>0.20708408072110901</v>
      </c>
    </row>
    <row r="110">
      <c r="A110">
        <f t="shared" si="863"/>
        <v>104</v>
      </c>
      <c r="B110">
        <v>-1.3475817579209379</v>
      </c>
      <c r="C110" s="55">
        <f t="shared" si="864"/>
        <v>-1.41174822741887</v>
      </c>
      <c r="D110" s="55">
        <f t="shared" si="866"/>
        <v>-1.3664450126079499</v>
      </c>
    </row>
    <row r="111">
      <c r="A111">
        <f t="shared" si="863"/>
        <v>105</v>
      </c>
      <c r="B111">
        <v>0.27028380803135105</v>
      </c>
      <c r="C111" s="55">
        <f t="shared" si="864"/>
        <v>0.80931651119972714</v>
      </c>
      <c r="D111" s="55">
        <f t="shared" si="866"/>
        <v>0.30832498344647802</v>
      </c>
    </row>
    <row r="112">
      <c r="A112">
        <f t="shared" si="863"/>
        <v>106</v>
      </c>
      <c r="B112">
        <v>-0.36664722071372097</v>
      </c>
      <c r="C112" s="55">
        <f t="shared" si="864"/>
        <v>-0.474760743926261</v>
      </c>
      <c r="D112" s="55">
        <f t="shared" si="866"/>
        <v>-0.51227250986612405</v>
      </c>
    </row>
    <row r="113">
      <c r="A113">
        <f t="shared" si="863"/>
        <v>107</v>
      </c>
      <c r="B113">
        <v>0.3629695180051602</v>
      </c>
      <c r="C113" s="55">
        <f t="shared" si="864"/>
        <v>0.50962840629064798</v>
      </c>
      <c r="D113" s="55">
        <f t="shared" si="866"/>
        <v>0.53071346044072598</v>
      </c>
    </row>
    <row r="114">
      <c r="A114">
        <f t="shared" si="863"/>
        <v>108</v>
      </c>
      <c r="B114">
        <v>3.405456366832614e-02</v>
      </c>
      <c r="C114" s="55">
        <f t="shared" si="864"/>
        <v>-0.11113324353373802</v>
      </c>
      <c r="D114" s="55">
        <f t="shared" si="866"/>
        <v>-1.1570886250638998e-02</v>
      </c>
    </row>
    <row r="115">
      <c r="A115">
        <f t="shared" si="863"/>
        <v>109</v>
      </c>
      <c r="B115">
        <v>0.22472251974334051</v>
      </c>
      <c r="C115" s="55">
        <f t="shared" si="864"/>
        <v>0.21110069427601</v>
      </c>
      <c r="D115" s="55">
        <f t="shared" si="866"/>
        <v>0.31658348530017699</v>
      </c>
    </row>
    <row r="116">
      <c r="A116">
        <f t="shared" si="863"/>
        <v>110</v>
      </c>
      <c r="B116">
        <v>0.23835817196030887</v>
      </c>
      <c r="C116" s="55">
        <f t="shared" si="864"/>
        <v>0.148469164062973</v>
      </c>
      <c r="D116" s="55">
        <f t="shared" si="866"/>
        <v>0.189918191906147</v>
      </c>
    </row>
    <row r="117">
      <c r="A117">
        <f t="shared" si="863"/>
        <v>111</v>
      </c>
      <c r="B117">
        <v>2.9018813129743858e-03</v>
      </c>
      <c r="C117" s="55">
        <f t="shared" si="864"/>
        <v>-9.2441387471149994e-02</v>
      </c>
      <c r="D117" s="55">
        <f t="shared" si="866"/>
        <v>1.346587742041e-03</v>
      </c>
    </row>
    <row r="118">
      <c r="A118">
        <f t="shared" si="863"/>
        <v>112</v>
      </c>
      <c r="B118">
        <v>-7.0164403849902066e-02</v>
      </c>
      <c r="C118" s="55">
        <f t="shared" si="864"/>
        <v>-7.1325156375092014e-02</v>
      </c>
      <c r="D118" s="55">
        <f t="shared" si="866"/>
        <v>-9.398883432562799e-02</v>
      </c>
    </row>
    <row r="119">
      <c r="A119">
        <f t="shared" si="863"/>
        <v>113</v>
      </c>
      <c r="B119">
        <v>-0.21069309060190561</v>
      </c>
      <c r="C119" s="55">
        <f t="shared" si="864"/>
        <v>-0.18262732906194501</v>
      </c>
      <c r="D119" s="55">
        <f t="shared" si="866"/>
        <v>-0.23841196638049098</v>
      </c>
    </row>
    <row r="120">
      <c r="A120">
        <f t="shared" si="863"/>
        <v>114</v>
      </c>
      <c r="B120">
        <v>-0.47693066897558534</v>
      </c>
      <c r="C120" s="55">
        <f t="shared" si="864"/>
        <v>-0.392653432734823</v>
      </c>
      <c r="D120" s="55">
        <f t="shared" si="866"/>
        <v>-0.48266609594346399</v>
      </c>
    </row>
    <row r="121">
      <c r="A121">
        <f t="shared" si="863"/>
        <v>115</v>
      </c>
      <c r="B121">
        <v>-1.0820146542971811e-02</v>
      </c>
      <c r="C121" s="55">
        <f t="shared" si="864"/>
        <v>0.17995212104726199</v>
      </c>
      <c r="D121" s="55">
        <f t="shared" si="866"/>
        <v>5.6357482069970006e-03</v>
      </c>
    </row>
    <row r="122">
      <c r="A122">
        <f t="shared" si="863"/>
        <v>116</v>
      </c>
      <c r="B122">
        <v>-0.53806306600499088</v>
      </c>
      <c r="C122" s="55">
        <f t="shared" si="864"/>
        <v>-0.533735007387802</v>
      </c>
      <c r="D122" s="55">
        <f t="shared" si="866"/>
        <v>-0.54358032829792002</v>
      </c>
    </row>
    <row r="123">
      <c r="A123">
        <f t="shared" si="863"/>
        <v>117</v>
      </c>
      <c r="B123">
        <v>-0.37680201240903038</v>
      </c>
      <c r="C123" s="55">
        <f t="shared" si="864"/>
        <v>-0.16157678600703401</v>
      </c>
      <c r="D123" s="55">
        <f t="shared" si="866"/>
        <v>-0.28737441627869798</v>
      </c>
    </row>
    <row r="124">
      <c r="A124">
        <f t="shared" si="863"/>
        <v>118</v>
      </c>
      <c r="B124">
        <v>6.0518363345847613e-02</v>
      </c>
      <c r="C124" s="55">
        <f t="shared" si="864"/>
        <v>0.21123916830946002</v>
      </c>
      <c r="D124" s="55">
        <f t="shared" si="866"/>
        <v>6.5255855105909005e-02</v>
      </c>
    </row>
    <row r="125">
      <c r="A125">
        <f t="shared" si="863"/>
        <v>119</v>
      </c>
      <c r="B125">
        <v>0.908568246574603</v>
      </c>
      <c r="C125" s="55">
        <f t="shared" si="864"/>
        <v>0.88436090123626399</v>
      </c>
      <c r="D125" s="55">
        <f t="shared" si="866"/>
        <v>0.94977616709663903</v>
      </c>
    </row>
    <row r="126">
      <c r="A126">
        <f t="shared" si="863"/>
        <v>120</v>
      </c>
      <c r="B126">
        <v>-0.36496444622151897</v>
      </c>
      <c r="C126" s="55">
        <f t="shared" si="864"/>
        <v>-0.72839174485136005</v>
      </c>
      <c r="D126" s="55">
        <f t="shared" si="866"/>
        <v>-0.361235947310515</v>
      </c>
    </row>
    <row r="127">
      <c r="A127">
        <f t="shared" si="863"/>
        <v>121</v>
      </c>
      <c r="B127">
        <v>-0.46851595528866935</v>
      </c>
      <c r="C127" s="55">
        <f t="shared" si="864"/>
        <v>-0.32253017680006102</v>
      </c>
      <c r="D127" s="55">
        <f t="shared" si="866"/>
        <v>-0.37291537492634502</v>
      </c>
    </row>
    <row r="128">
      <c r="A128">
        <f t="shared" si="863"/>
        <v>122</v>
      </c>
      <c r="B128">
        <v>1.0250626756055023</v>
      </c>
      <c r="C128" s="55">
        <f t="shared" si="864"/>
        <v>1.21246905772097</v>
      </c>
      <c r="D128" s="55">
        <f t="shared" si="866"/>
        <v>0.93517178291456593</v>
      </c>
    </row>
    <row r="129">
      <c r="A129">
        <f t="shared" si="863"/>
        <v>123</v>
      </c>
      <c r="B129">
        <v>-0.12821570689953868</v>
      </c>
      <c r="C129" s="55">
        <f t="shared" si="864"/>
        <v>-0.53824077714173901</v>
      </c>
      <c r="D129" s="55">
        <f t="shared" si="866"/>
        <v>-0.20455211800629697</v>
      </c>
    </row>
    <row r="130">
      <c r="A130">
        <f t="shared" si="863"/>
        <v>124</v>
      </c>
      <c r="B130">
        <v>0.1484634817449306</v>
      </c>
      <c r="C130" s="55">
        <f t="shared" si="864"/>
        <v>0.19974976450474699</v>
      </c>
      <c r="D130" s="55">
        <f t="shared" si="866"/>
        <v>0.25644657351522698</v>
      </c>
    </row>
    <row r="131">
      <c r="A131">
        <f t="shared" si="863"/>
        <v>125</v>
      </c>
      <c r="B131">
        <v>0.79443782802329266</v>
      </c>
      <c r="C131" s="55">
        <f t="shared" si="864"/>
        <v>0.73505243532532105</v>
      </c>
      <c r="D131" s="55">
        <f t="shared" si="866"/>
        <v>0.68888965225290999</v>
      </c>
    </row>
    <row r="132">
      <c r="A132">
        <f t="shared" si="863"/>
        <v>126</v>
      </c>
      <c r="B132">
        <v>-0.38803213955391319</v>
      </c>
      <c r="C132" s="55">
        <f t="shared" si="864"/>
        <v>-0.70580727076323002</v>
      </c>
      <c r="D132" s="55">
        <f t="shared" si="866"/>
        <v>-0.42201262025070496</v>
      </c>
    </row>
    <row r="133">
      <c r="A133">
        <f t="shared" si="863"/>
        <v>127</v>
      </c>
      <c r="B133">
        <v>-1.3998932143015734</v>
      </c>
      <c r="C133" s="55">
        <f t="shared" si="864"/>
        <v>-1.2446803584800099</v>
      </c>
      <c r="D133" s="55">
        <f t="shared" si="866"/>
        <v>-1.36215809143139</v>
      </c>
    </row>
    <row r="134">
      <c r="A134">
        <f t="shared" si="863"/>
        <v>128</v>
      </c>
      <c r="B134">
        <v>-0.20867478752123328</v>
      </c>
      <c r="C134" s="55">
        <f t="shared" si="864"/>
        <v>0.351282498199395</v>
      </c>
      <c r="D134" s="55">
        <f t="shared" si="866"/>
        <v>-0.238002029371913</v>
      </c>
    </row>
    <row r="135">
      <c r="A135">
        <f t="shared" si="863"/>
        <v>129</v>
      </c>
      <c r="B135">
        <v>-5.1587365971343523e-02</v>
      </c>
      <c r="C135" s="55">
        <f t="shared" si="864"/>
        <v>3.1882549037149002e-02</v>
      </c>
      <c r="D135" s="55">
        <f t="shared" si="866"/>
        <v>-0.11423800188025598</v>
      </c>
    </row>
    <row r="136">
      <c r="A136">
        <f t="shared" si="863"/>
        <v>130</v>
      </c>
      <c r="B136">
        <v>-2.8380451480331949e-02</v>
      </c>
      <c r="C136" s="55">
        <f t="shared" si="864"/>
        <v>-7.7455050917940001e-03</v>
      </c>
      <c r="D136" s="55">
        <f t="shared" si="866"/>
        <v>0.10235732199391098</v>
      </c>
    </row>
    <row r="137">
      <c r="A137">
        <f t="shared" si="863"/>
        <v>131</v>
      </c>
      <c r="B137">
        <v>-5.0483662879211126e-02</v>
      </c>
      <c r="C137" s="55">
        <f t="shared" si="864"/>
        <v>-3.9131482287077995e-02</v>
      </c>
      <c r="D137" s="55">
        <f t="shared" si="866"/>
        <v>1.5811574780318e-02</v>
      </c>
    </row>
    <row r="138">
      <c r="A138">
        <f t="shared" si="863"/>
        <v>132</v>
      </c>
      <c r="B138">
        <v>0.40466650426540046</v>
      </c>
      <c r="C138" s="55">
        <f t="shared" si="864"/>
        <v>0.42485996941708504</v>
      </c>
      <c r="D138" s="55">
        <f t="shared" si="866"/>
        <v>0.45331595082005605</v>
      </c>
    </row>
    <row r="139">
      <c r="A139">
        <f t="shared" si="863"/>
        <v>133</v>
      </c>
      <c r="B139">
        <v>0.52315476793853832</v>
      </c>
      <c r="C139" s="55">
        <f t="shared" si="864"/>
        <v>0.36128816623237803</v>
      </c>
      <c r="D139" s="55">
        <f t="shared" si="866"/>
        <v>0.50536249446493997</v>
      </c>
    </row>
    <row r="140">
      <c r="A140">
        <f t="shared" si="863"/>
        <v>134</v>
      </c>
      <c r="B140">
        <v>0.46996811860365117</v>
      </c>
      <c r="C140" s="55">
        <f t="shared" si="864"/>
        <v>0.26070621142823602</v>
      </c>
      <c r="D140" s="55">
        <f t="shared" si="866"/>
        <v>0.47102002062644494</v>
      </c>
    </row>
    <row r="141">
      <c r="A141">
        <f t="shared" si="863"/>
        <v>135</v>
      </c>
      <c r="B141">
        <v>-0.39598910612523192</v>
      </c>
      <c r="C141" s="55">
        <f t="shared" si="864"/>
        <v>-0.58397635356669197</v>
      </c>
      <c r="D141" s="55">
        <f t="shared" si="866"/>
        <v>-0.43548475855650698</v>
      </c>
    </row>
    <row r="142">
      <c r="A142">
        <f t="shared" si="863"/>
        <v>136</v>
      </c>
      <c r="B142">
        <v>-0.1750562864439289</v>
      </c>
      <c r="C142" s="55">
        <f t="shared" si="864"/>
        <v>-1.6660643993835999e-02</v>
      </c>
      <c r="D142" s="55">
        <f t="shared" si="866"/>
        <v>-0.188502980043039</v>
      </c>
    </row>
    <row r="143">
      <c r="A143">
        <f t="shared" si="863"/>
        <v>137</v>
      </c>
      <c r="B143">
        <v>-0.14587797149207962</v>
      </c>
      <c r="C143" s="55">
        <f t="shared" si="864"/>
        <v>-7.5855456914507999e-02</v>
      </c>
      <c r="D143" s="55">
        <f t="shared" si="866"/>
        <v>-0.23663022102229297</v>
      </c>
    </row>
    <row r="144">
      <c r="A144">
        <f t="shared" si="863"/>
        <v>138</v>
      </c>
      <c r="B144">
        <v>7.4800791128076916e-02</v>
      </c>
      <c r="C144" s="55">
        <f t="shared" si="864"/>
        <v>0.133151979724909</v>
      </c>
      <c r="D144" s="55">
        <f t="shared" si="866"/>
        <v>9.0060341853689996e-02</v>
      </c>
    </row>
    <row r="145">
      <c r="A145">
        <f t="shared" si="863"/>
        <v>139</v>
      </c>
      <c r="B145">
        <v>-4.2638486055452611e-02</v>
      </c>
      <c r="C145" s="55">
        <f t="shared" si="864"/>
        <v>-7.2558802506684006e-02</v>
      </c>
      <c r="D145" s="55">
        <f t="shared" si="866"/>
        <v>-3.8521270258489997e-02</v>
      </c>
    </row>
    <row r="146">
      <c r="A146">
        <f t="shared" si="863"/>
        <v>140</v>
      </c>
      <c r="B146">
        <v>-0.7181893143128113</v>
      </c>
      <c r="C146" s="55">
        <f t="shared" si="864"/>
        <v>-0.70113391989063001</v>
      </c>
      <c r="D146" s="55">
        <f t="shared" si="866"/>
        <v>-0.67711764312256995</v>
      </c>
    </row>
    <row r="147">
      <c r="A147">
        <f t="shared" si="863"/>
        <v>141</v>
      </c>
      <c r="B147">
        <v>0.24957308195370337</v>
      </c>
      <c r="C147" s="55">
        <f t="shared" si="864"/>
        <v>0.53684880767882703</v>
      </c>
      <c r="D147" s="55">
        <f t="shared" si="866"/>
        <v>0.290089807407861</v>
      </c>
    </row>
    <row r="148">
      <c r="A148">
        <f t="shared" si="863"/>
        <v>142</v>
      </c>
      <c r="B148">
        <v>-0.91751252484688306</v>
      </c>
      <c r="C148" s="55">
        <f t="shared" si="864"/>
        <v>-1.0173417576283601</v>
      </c>
      <c r="D148" s="55">
        <f t="shared" si="866"/>
        <v>-0.97125244777800002</v>
      </c>
    </row>
    <row r="149">
      <c r="A149">
        <f t="shared" si="863"/>
        <v>143</v>
      </c>
      <c r="B149">
        <v>2.5075431761081166e-02</v>
      </c>
      <c r="C149" s="55">
        <f t="shared" si="864"/>
        <v>0.39208044169983403</v>
      </c>
      <c r="D149" s="55">
        <f t="shared" si="866"/>
        <v>0.16828810173170999</v>
      </c>
    </row>
    <row r="150">
      <c r="A150">
        <f t="shared" si="863"/>
        <v>144</v>
      </c>
      <c r="B150">
        <v>0.25095282799290247</v>
      </c>
      <c r="C150" s="55">
        <f t="shared" si="864"/>
        <v>0.24092265528847098</v>
      </c>
      <c r="D150" s="55">
        <f t="shared" si="866"/>
        <v>0.17900835131833701</v>
      </c>
    </row>
    <row r="151">
      <c r="A151">
        <f t="shared" si="863"/>
        <v>145</v>
      </c>
      <c r="B151">
        <v>-0.13079037606187624</v>
      </c>
      <c r="C151" s="55">
        <f t="shared" si="864"/>
        <v>-0.23117150725903701</v>
      </c>
      <c r="D151" s="55">
        <f t="shared" si="866"/>
        <v>-3.4285295475818003e-02</v>
      </c>
    </row>
    <row r="152">
      <c r="A152">
        <f t="shared" si="863"/>
        <v>146</v>
      </c>
      <c r="B152">
        <v>3.9347252655179736e-02</v>
      </c>
      <c r="C152" s="55">
        <f t="shared" si="864"/>
        <v>9.1663403079929998e-02</v>
      </c>
      <c r="D152" s="55">
        <f t="shared" si="866"/>
        <v>7.4320771883917003e-02</v>
      </c>
    </row>
    <row r="153">
      <c r="A153">
        <f t="shared" si="863"/>
        <v>147</v>
      </c>
      <c r="B153">
        <v>-0.24956702482861565</v>
      </c>
      <c r="C153" s="55">
        <f t="shared" si="864"/>
        <v>-0.26530592589068802</v>
      </c>
      <c r="D153" s="55">
        <f t="shared" si="866"/>
        <v>-0.26506999509108498</v>
      </c>
    </row>
    <row r="154">
      <c r="A154">
        <f t="shared" si="863"/>
        <v>148</v>
      </c>
      <c r="B154">
        <v>-4.3466069434543737e-02</v>
      </c>
      <c r="C154" s="55">
        <f t="shared" si="864"/>
        <v>5.6360740496901991e-02</v>
      </c>
      <c r="D154" s="55">
        <f t="shared" si="866"/>
        <v>-2.3887716917487003e-02</v>
      </c>
    </row>
    <row r="155">
      <c r="A155">
        <f t="shared" si="863"/>
        <v>149</v>
      </c>
      <c r="B155">
        <v>-9.4167699304106622e-02</v>
      </c>
      <c r="C155" s="55">
        <f t="shared" si="864"/>
        <v>-7.6781271530289005e-02</v>
      </c>
      <c r="D155" s="55">
        <f t="shared" si="866"/>
        <v>-0.11701866575474899</v>
      </c>
    </row>
    <row r="156">
      <c r="A156">
        <f t="shared" si="863"/>
        <v>150</v>
      </c>
      <c r="B156">
        <v>1.0789945199254356</v>
      </c>
      <c r="C156" s="55">
        <f t="shared" si="864"/>
        <v>1.1166615996470799</v>
      </c>
      <c r="D156" s="55">
        <f t="shared" si="866"/>
        <v>1.1075059358138599</v>
      </c>
    </row>
    <row r="157">
      <c r="A157">
        <f t="shared" si="863"/>
        <v>151</v>
      </c>
      <c r="B157">
        <v>0.19457012465328444</v>
      </c>
      <c r="C157" s="55">
        <f t="shared" si="864"/>
        <v>-0.237027683316892</v>
      </c>
      <c r="D157" s="55">
        <f t="shared" si="866"/>
        <v>0.13572307898116601</v>
      </c>
    </row>
    <row r="158">
      <c r="A158">
        <f t="shared" si="863"/>
        <v>152</v>
      </c>
      <c r="B158">
        <v>-0.93304167847339625</v>
      </c>
      <c r="C158" s="55">
        <f t="shared" si="864"/>
        <v>-1.0108697283347099</v>
      </c>
      <c r="D158" s="55">
        <f t="shared" si="866"/>
        <v>-0.85454622240993605</v>
      </c>
    </row>
    <row r="159">
      <c r="A159">
        <f t="shared" si="863"/>
        <v>153</v>
      </c>
      <c r="B159">
        <v>-0.16706237349180128</v>
      </c>
      <c r="C159" s="55">
        <f t="shared" si="864"/>
        <v>0.20615429789755799</v>
      </c>
      <c r="D159" s="55">
        <f t="shared" si="866"/>
        <v>-0.21326342919783098</v>
      </c>
    </row>
    <row r="160">
      <c r="A160">
        <f t="shared" si="863"/>
        <v>154</v>
      </c>
      <c r="B160">
        <v>0.25997599923618075</v>
      </c>
      <c r="C160" s="55">
        <f t="shared" si="864"/>
        <v>0.32680094863290099</v>
      </c>
      <c r="D160" s="55">
        <f t="shared" si="866"/>
        <v>0.16329604797362501</v>
      </c>
    </row>
    <row r="161">
      <c r="A161">
        <f t="shared" si="863"/>
        <v>155</v>
      </c>
      <c r="B161">
        <v>-0.66600962106369432</v>
      </c>
      <c r="C161" s="55">
        <f t="shared" si="864"/>
        <v>-0.77000002075816598</v>
      </c>
      <c r="D161" s="55">
        <f t="shared" si="866"/>
        <v>-0.62584100643791096</v>
      </c>
    </row>
    <row r="162">
      <c r="A162">
        <f t="shared" si="863"/>
        <v>156</v>
      </c>
      <c r="B162">
        <v>0.11797693608631241</v>
      </c>
      <c r="C162" s="55">
        <f t="shared" si="864"/>
        <v>0.38438078451178997</v>
      </c>
      <c r="D162" s="55">
        <f t="shared" si="866"/>
        <v>0.21035192479594303</v>
      </c>
    </row>
    <row r="163">
      <c r="A163">
        <f t="shared" si="863"/>
        <v>157</v>
      </c>
      <c r="B163">
        <v>-0.38200653711381494</v>
      </c>
      <c r="C163" s="55">
        <f t="shared" si="864"/>
        <v>-0.42919731154834001</v>
      </c>
      <c r="D163" s="55">
        <f t="shared" si="866"/>
        <v>-0.43119620434646694</v>
      </c>
    </row>
    <row r="164">
      <c r="A164">
        <f t="shared" si="863"/>
        <v>158</v>
      </c>
      <c r="B164">
        <v>0.65451858323512324</v>
      </c>
      <c r="C164" s="55">
        <f t="shared" si="864"/>
        <v>0.80732119808064895</v>
      </c>
      <c r="D164" s="55">
        <f t="shared" si="866"/>
        <v>0.75550418238365002</v>
      </c>
    </row>
    <row r="165">
      <c r="A165">
        <f t="shared" ref="A165:A206" si="867">A164+1</f>
        <v>159</v>
      </c>
      <c r="B165">
        <v>0.31230951248154232</v>
      </c>
      <c r="C165" s="55">
        <f t="shared" ref="C165:C206" si="868">B165-0.4*B164</f>
        <v>5.0502079187492999e-02</v>
      </c>
      <c r="D165" s="55">
        <f t="shared" si="866"/>
        <v>0.24633632882075901</v>
      </c>
    </row>
    <row r="166">
      <c r="A166">
        <f t="shared" si="867"/>
        <v>160</v>
      </c>
      <c r="B166">
        <v>-0.11414619211828736</v>
      </c>
      <c r="C166" s="55">
        <f t="shared" si="868"/>
        <v>-0.23906999711090399</v>
      </c>
      <c r="D166" s="55">
        <f t="shared" si="866"/>
        <v>-3.5916304991818998e-02</v>
      </c>
    </row>
    <row r="167">
      <c r="A167">
        <f t="shared" si="867"/>
        <v>161</v>
      </c>
      <c r="B167">
        <v>-0.45830678053502522</v>
      </c>
      <c r="C167" s="55">
        <f t="shared" si="868"/>
        <v>-0.41264830368770999</v>
      </c>
      <c r="D167" s="55">
        <f t="shared" ref="D167:D206" si="869">C167-SUMPRODUCT(D164:D166,G$3:G$5)</f>
        <v>-0.49793652310581099</v>
      </c>
    </row>
    <row r="168">
      <c r="A168">
        <f t="shared" si="867"/>
        <v>162</v>
      </c>
      <c r="B168">
        <v>6.3411234207975328e-02</v>
      </c>
      <c r="C168" s="55">
        <f t="shared" si="868"/>
        <v>0.24673394642198501</v>
      </c>
      <c r="D168" s="55">
        <f t="shared" si="869"/>
        <v>4.2177508223029e-02</v>
      </c>
    </row>
    <row r="169">
      <c r="A169">
        <f t="shared" si="867"/>
        <v>163</v>
      </c>
      <c r="B169">
        <v>0.50173549649751492</v>
      </c>
      <c r="C169" s="55">
        <f t="shared" si="868"/>
        <v>0.47637100281432498</v>
      </c>
      <c r="D169" s="55">
        <f t="shared" si="869"/>
        <v>0.45251248152071499</v>
      </c>
    </row>
    <row r="170">
      <c r="A170">
        <f t="shared" si="867"/>
        <v>164</v>
      </c>
      <c r="B170">
        <v>-4.7878140516434742e-02</v>
      </c>
      <c r="C170" s="55">
        <f t="shared" si="868"/>
        <v>-0.24857233911544099</v>
      </c>
      <c r="D170" s="55">
        <f t="shared" si="869"/>
        <v>-2.7704417660887999e-02</v>
      </c>
    </row>
    <row r="171">
      <c r="A171">
        <f t="shared" si="867"/>
        <v>165</v>
      </c>
      <c r="B171">
        <v>0.14014491224633679</v>
      </c>
      <c r="C171" s="55">
        <f t="shared" si="868"/>
        <v>0.159296168452911</v>
      </c>
      <c r="D171" s="55">
        <f t="shared" si="869"/>
        <v>0.18343384416515904</v>
      </c>
    </row>
    <row r="172">
      <c r="A172">
        <f t="shared" si="867"/>
        <v>166</v>
      </c>
      <c r="B172">
        <v>-0.22094875069833905</v>
      </c>
      <c r="C172" s="55">
        <f t="shared" si="868"/>
        <v>-0.27700671559687401</v>
      </c>
      <c r="D172" s="55">
        <f t="shared" si="869"/>
        <v>-0.27286500136872599</v>
      </c>
    </row>
    <row r="173">
      <c r="A173">
        <f t="shared" si="867"/>
        <v>167</v>
      </c>
      <c r="B173">
        <v>0.60190831699301117</v>
      </c>
      <c r="C173" s="55">
        <f t="shared" si="868"/>
        <v>0.690287817272347</v>
      </c>
      <c r="D173" s="55">
        <f t="shared" si="869"/>
        <v>0.61592456510536198</v>
      </c>
    </row>
    <row r="174">
      <c r="A174">
        <f t="shared" si="867"/>
        <v>168</v>
      </c>
      <c r="B174">
        <v>0.57112113782875606</v>
      </c>
      <c r="C174" s="55">
        <f t="shared" si="868"/>
        <v>0.33035781103155198</v>
      </c>
      <c r="D174" s="55">
        <f t="shared" si="869"/>
        <v>0.49528496338794997</v>
      </c>
    </row>
    <row r="175">
      <c r="A175">
        <f t="shared" si="867"/>
        <v>169</v>
      </c>
      <c r="B175">
        <v>0.42935318255318633</v>
      </c>
      <c r="C175" s="55">
        <f t="shared" si="868"/>
        <v>0.20090472742168403</v>
      </c>
      <c r="D175" s="55">
        <f t="shared" si="869"/>
        <v>0.45771122370993494</v>
      </c>
    </row>
    <row r="176">
      <c r="A176">
        <f t="shared" si="867"/>
        <v>170</v>
      </c>
      <c r="B176">
        <v>3.2284282684139576e-02</v>
      </c>
      <c r="C176" s="55">
        <f t="shared" si="868"/>
        <v>-0.13945699033713399</v>
      </c>
      <c r="D176" s="55">
        <f t="shared" si="869"/>
        <v>-1.6658741999220999e-02</v>
      </c>
    </row>
    <row r="177">
      <c r="A177">
        <f t="shared" si="867"/>
        <v>171</v>
      </c>
      <c r="B177">
        <v>0.13032847091512376</v>
      </c>
      <c r="C177" s="55">
        <f t="shared" si="868"/>
        <v>0.117414757841468</v>
      </c>
      <c r="D177" s="55">
        <f t="shared" si="869"/>
        <v>8.9325586034954996e-02</v>
      </c>
    </row>
    <row r="178">
      <c r="A178">
        <f t="shared" si="867"/>
        <v>172</v>
      </c>
      <c r="B178">
        <v>0.55577904583932602</v>
      </c>
      <c r="C178" s="55">
        <f t="shared" si="868"/>
        <v>0.503647657473276</v>
      </c>
      <c r="D178" s="55">
        <f t="shared" si="869"/>
        <v>0.475815427546323</v>
      </c>
    </row>
    <row r="179">
      <c r="A179">
        <f t="shared" si="867"/>
        <v>173</v>
      </c>
      <c r="B179">
        <v>-0.25846732041896892</v>
      </c>
      <c r="C179" s="55">
        <f t="shared" si="868"/>
        <v>-0.48077893875469896</v>
      </c>
      <c r="D179" s="55">
        <f t="shared" si="869"/>
        <v>-0.30783871847453498</v>
      </c>
    </row>
    <row r="180">
      <c r="A180">
        <f t="shared" si="867"/>
        <v>174</v>
      </c>
      <c r="B180">
        <v>0.27306064744471714</v>
      </c>
      <c r="C180" s="55">
        <f t="shared" si="868"/>
        <v>0.37644757561230502</v>
      </c>
      <c r="D180" s="55">
        <f t="shared" si="869"/>
        <v>0.30063770316694399</v>
      </c>
    </row>
    <row r="181">
      <c r="A181">
        <f t="shared" si="867"/>
        <v>175</v>
      </c>
      <c r="B181">
        <v>-0.80712998639146638</v>
      </c>
      <c r="C181" s="55">
        <f t="shared" si="868"/>
        <v>-0.91635424536935306</v>
      </c>
      <c r="D181" s="55">
        <f t="shared" si="869"/>
        <v>-0.89899837331846599</v>
      </c>
    </row>
    <row r="182">
      <c r="A182">
        <f t="shared" si="867"/>
        <v>176</v>
      </c>
      <c r="B182">
        <v>-9.080471442227743e-02</v>
      </c>
      <c r="C182" s="55">
        <f t="shared" si="868"/>
        <v>0.23204728013430903</v>
      </c>
      <c r="D182" s="55">
        <f t="shared" si="869"/>
        <v>-1.2074070912893999e-02</v>
      </c>
    </row>
    <row r="183">
      <c r="A183">
        <f t="shared" si="867"/>
        <v>177</v>
      </c>
      <c r="B183">
        <v>0.78479208772105424</v>
      </c>
      <c r="C183" s="55">
        <f t="shared" si="868"/>
        <v>0.82111397348996495</v>
      </c>
      <c r="D183" s="55">
        <f t="shared" si="869"/>
        <v>0.70223843577091904</v>
      </c>
    </row>
    <row r="184">
      <c r="A184">
        <f t="shared" si="867"/>
        <v>178</v>
      </c>
      <c r="B184">
        <v>-0.13451947923937232</v>
      </c>
      <c r="C184" s="55">
        <f t="shared" si="868"/>
        <v>-0.44843631432779396</v>
      </c>
      <c r="D184" s="55">
        <f t="shared" si="869"/>
        <v>-9.6608518669582005e-02</v>
      </c>
    </row>
    <row r="185">
      <c r="A185">
        <f t="shared" si="867"/>
        <v>179</v>
      </c>
      <c r="B185">
        <v>0.12925003906509253</v>
      </c>
      <c r="C185" s="55">
        <f t="shared" si="868"/>
        <v>0.18305783076084201</v>
      </c>
      <c r="D185" s="55">
        <f t="shared" si="869"/>
        <v>0.211789144871907</v>
      </c>
    </row>
    <row r="186">
      <c r="A186">
        <f t="shared" si="867"/>
        <v>180</v>
      </c>
      <c r="B186">
        <v>-0.39138319355115314</v>
      </c>
      <c r="C186" s="55">
        <f t="shared" si="868"/>
        <v>-0.44308320917719002</v>
      </c>
      <c r="D186" s="55">
        <f t="shared" si="869"/>
        <v>-0.46625772576264507</v>
      </c>
    </row>
    <row r="187">
      <c r="A187">
        <f t="shared" si="867"/>
        <v>181</v>
      </c>
      <c r="B187">
        <v>0.99268646809453442</v>
      </c>
      <c r="C187" s="55">
        <f t="shared" si="868"/>
        <v>1.1492397455150001</v>
      </c>
      <c r="D187" s="55">
        <f t="shared" si="869"/>
        <v>1.01957358055039</v>
      </c>
    </row>
    <row r="188">
      <c r="A188">
        <f t="shared" si="867"/>
        <v>182</v>
      </c>
      <c r="B188">
        <v>1.1045485291507553</v>
      </c>
      <c r="C188" s="55">
        <f t="shared" si="868"/>
        <v>0.70747394191294599</v>
      </c>
      <c r="D188" s="55">
        <f t="shared" si="869"/>
        <v>0.99068116386779015</v>
      </c>
    </row>
    <row r="189">
      <c r="A189">
        <f t="shared" si="867"/>
        <v>183</v>
      </c>
      <c r="B189">
        <v>-0.34636077127091497</v>
      </c>
      <c r="C189" s="55">
        <f t="shared" si="868"/>
        <v>-0.78818018293121905</v>
      </c>
      <c r="D189" s="55">
        <f t="shared" si="869"/>
        <v>-0.302677928205275</v>
      </c>
    </row>
    <row r="190">
      <c r="A190">
        <f t="shared" si="867"/>
        <v>184</v>
      </c>
      <c r="B190">
        <v>-4.285385940483985e-02</v>
      </c>
      <c r="C190" s="55">
        <f t="shared" si="868"/>
        <v>9.5690449103526004e-02</v>
      </c>
      <c r="D190" s="55">
        <f t="shared" si="869"/>
        <v>-5.0013659650808992e-02</v>
      </c>
    </row>
    <row r="191">
      <c r="A191">
        <f t="shared" si="867"/>
        <v>185</v>
      </c>
      <c r="B191">
        <v>0.82486687850577023</v>
      </c>
      <c r="C191" s="55">
        <f t="shared" si="868"/>
        <v>0.842008422267706</v>
      </c>
      <c r="D191" s="55">
        <f t="shared" si="869"/>
        <v>0.67539017883408703</v>
      </c>
    </row>
    <row r="192">
      <c r="A192">
        <f t="shared" si="867"/>
        <v>186</v>
      </c>
      <c r="B192">
        <v>0.26146176427923484</v>
      </c>
      <c r="C192" s="55">
        <f t="shared" si="868"/>
        <v>-6.8484987123072993e-02</v>
      </c>
      <c r="D192" s="55">
        <f t="shared" si="869"/>
        <v>0.19656606095755202</v>
      </c>
    </row>
    <row r="193">
      <c r="A193">
        <f t="shared" si="867"/>
        <v>187</v>
      </c>
      <c r="B193">
        <v>-0.35460608851308534</v>
      </c>
      <c r="C193" s="55">
        <f t="shared" si="868"/>
        <v>-0.45919079422477899</v>
      </c>
      <c r="D193" s="55">
        <f t="shared" si="869"/>
        <v>-0.32749182006688599</v>
      </c>
    </row>
    <row r="194">
      <c r="A194">
        <f t="shared" si="867"/>
        <v>188</v>
      </c>
      <c r="B194">
        <v>-0.26876158315295717</v>
      </c>
      <c r="C194" s="55">
        <f t="shared" si="868"/>
        <v>-0.126919147747723</v>
      </c>
      <c r="D194" s="55">
        <f t="shared" si="869"/>
        <v>-0.306501516969022</v>
      </c>
    </row>
    <row r="195">
      <c r="A195">
        <f t="shared" si="867"/>
        <v>189</v>
      </c>
      <c r="B195">
        <v>0.25166944374552108</v>
      </c>
      <c r="C195" s="55">
        <f t="shared" si="868"/>
        <v>0.35917407700670401</v>
      </c>
      <c r="D195" s="55">
        <f t="shared" si="869"/>
        <v>0.20141252385482397</v>
      </c>
    </row>
    <row r="196">
      <c r="A196">
        <f t="shared" si="867"/>
        <v>190</v>
      </c>
      <c r="B196">
        <v>0.43286071337948046</v>
      </c>
      <c r="C196" s="55">
        <f t="shared" si="868"/>
        <v>0.33219293588127302</v>
      </c>
      <c r="D196" s="55">
        <f t="shared" si="869"/>
        <v>0.41573380661015696</v>
      </c>
    </row>
    <row r="197">
      <c r="A197">
        <f t="shared" si="867"/>
        <v>191</v>
      </c>
      <c r="B197">
        <v>0.45413848023264791</v>
      </c>
      <c r="C197" s="55">
        <f t="shared" si="868"/>
        <v>0.28099419488085597</v>
      </c>
      <c r="D197" s="55">
        <f t="shared" si="869"/>
        <v>0.47908041833090798</v>
      </c>
    </row>
    <row r="198">
      <c r="A198">
        <f t="shared" si="867"/>
        <v>192</v>
      </c>
      <c r="B198">
        <v>-1.3324825042722805e-02</v>
      </c>
      <c r="C198" s="55">
        <f t="shared" si="868"/>
        <v>-0.19498021713578201</v>
      </c>
      <c r="D198" s="55">
        <f t="shared" si="869"/>
        <v>-2.0038295673001e-02</v>
      </c>
    </row>
    <row r="199">
      <c r="A199">
        <f t="shared" si="867"/>
        <v>193</v>
      </c>
      <c r="B199">
        <v>-0.24539323159004911</v>
      </c>
      <c r="C199" s="55">
        <f t="shared" si="868"/>
        <v>-0.24006330157295999</v>
      </c>
      <c r="D199" s="55">
        <f t="shared" si="869"/>
        <v>-0.25756186734289899</v>
      </c>
    </row>
    <row r="200">
      <c r="A200">
        <f t="shared" si="867"/>
        <v>194</v>
      </c>
      <c r="B200">
        <v>3.6119098172010637e-02</v>
      </c>
      <c r="C200" s="55">
        <f t="shared" si="868"/>
        <v>0.134276390808031</v>
      </c>
      <c r="D200" s="55">
        <f t="shared" si="869"/>
        <v>-1.5478302960522e-02</v>
      </c>
    </row>
    <row r="201">
      <c r="A201">
        <f t="shared" si="867"/>
        <v>195</v>
      </c>
      <c r="B201">
        <v>0.30217869836325728</v>
      </c>
      <c r="C201" s="55">
        <f t="shared" si="868"/>
        <v>0.28773105909445301</v>
      </c>
      <c r="D201" s="55">
        <f t="shared" si="869"/>
        <v>0.26278125173786099</v>
      </c>
    </row>
    <row r="202">
      <c r="A202">
        <f t="shared" si="867"/>
        <v>196</v>
      </c>
      <c r="B202">
        <v>0.23649227964160363</v>
      </c>
      <c r="C202" s="55">
        <f t="shared" si="868"/>
        <v>0.11562080029630099</v>
      </c>
      <c r="D202" s="55">
        <f t="shared" si="869"/>
        <v>0.23650923540525798</v>
      </c>
    </row>
    <row r="203">
      <c r="A203">
        <f t="shared" si="867"/>
        <v>197</v>
      </c>
      <c r="B203">
        <v>-0.70478339276739954</v>
      </c>
      <c r="C203" s="55">
        <f t="shared" si="868"/>
        <v>-0.79938030462404197</v>
      </c>
      <c r="D203" s="55">
        <f t="shared" si="869"/>
        <v>-0.69375096075729403</v>
      </c>
    </row>
    <row r="204">
      <c r="A204">
        <f t="shared" si="867"/>
        <v>198</v>
      </c>
      <c r="B204">
        <v>-0.30303035315709964</v>
      </c>
      <c r="C204" s="55">
        <f t="shared" si="868"/>
        <v>-2.1116996050139999e-02</v>
      </c>
      <c r="D204" s="55">
        <f t="shared" si="869"/>
        <v>-0.27146361526716201</v>
      </c>
    </row>
    <row r="205">
      <c r="A205">
        <f t="shared" si="867"/>
        <v>199</v>
      </c>
      <c r="B205">
        <v>4.980264955195015e-02</v>
      </c>
      <c r="C205" s="55">
        <f t="shared" si="868"/>
        <v>0.17101479081479001</v>
      </c>
      <c r="D205" s="55">
        <f t="shared" si="869"/>
        <v>-1.1188662294006e-02</v>
      </c>
    </row>
    <row r="206">
      <c r="A206">
        <f t="shared" si="867"/>
        <v>200</v>
      </c>
      <c r="B206" s="14">
        <v>-1.0568000762886942</v>
      </c>
      <c r="C206" s="67">
        <f t="shared" si="868"/>
        <v>-1.07672113610947</v>
      </c>
      <c r="D206" s="67">
        <f t="shared" si="869"/>
        <v>-1.0174429975338599</v>
      </c>
    </row>
    <row r="208">
      <c r="B208" s="20" t="s">
        <v>561</v>
      </c>
    </row>
    <row r="209">
      <c r="B209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570</v>
      </c>
    </row>
    <row r="2">
      <c r="D2" s="25" t="s">
        <v>469</v>
      </c>
      <c r="E2" s="25" t="s">
        <v>470</v>
      </c>
      <c r="F2" s="25" t="s">
        <v>471</v>
      </c>
    </row>
    <row r="3">
      <c r="A3" t="s">
        <v>571</v>
      </c>
      <c r="B3" s="7">
        <v>0.59999999999999998</v>
      </c>
      <c r="D3" s="5" t="e">
        <v>#NAME?</v>
      </c>
      <c r="E3" s="42" t="e">
        <v>#NAME?</v>
      </c>
      <c r="F3" s="6" t="e">
        <v>#NAME?</v>
      </c>
    </row>
    <row r="4">
      <c r="A4" t="s">
        <v>572</v>
      </c>
      <c r="B4" s="10">
        <v>-0.20000000000000001</v>
      </c>
      <c r="D4" s="8" t="e">
        <v>#NAME?</v>
      </c>
      <c r="E4" t="e">
        <v>#NAME?</v>
      </c>
      <c r="F4" s="9" t="e">
        <v>#NAME?</v>
      </c>
    </row>
    <row r="5">
      <c r="A5" t="s">
        <v>573</v>
      </c>
      <c r="B5" s="13">
        <v>0.5</v>
      </c>
      <c r="D5" s="11" t="e">
        <v>#NAME?</v>
      </c>
      <c r="E5" s="14" t="e">
        <v>#NAME?</v>
      </c>
      <c r="F5" s="12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12" max="12" width="7.8125"/>
    <col customWidth="1" min="13" max="14" width="9.8125"/>
    <col customWidth="1" min="15" max="15" width="6.7232139999999996"/>
    <col customWidth="1" min="16" max="16" width="4.7232139999999996"/>
    <col customWidth="1" min="17" max="17" width="5.2678570000000002"/>
  </cols>
  <sheetData>
    <row r="1">
      <c r="A1" s="1" t="s">
        <v>574</v>
      </c>
    </row>
    <row r="2" s="55" customFormat="1"/>
    <row r="3" s="55" customFormat="1" ht="15" customHeight="1">
      <c r="A3" s="55" t="s">
        <v>575</v>
      </c>
    </row>
    <row r="4" s="55" customFormat="1"/>
    <row r="5">
      <c r="B5" s="4" t="s">
        <v>342</v>
      </c>
      <c r="C5" s="4" t="s">
        <v>343</v>
      </c>
      <c r="L5" s="4" t="s">
        <v>291</v>
      </c>
      <c r="M5" s="4" t="s">
        <v>292</v>
      </c>
      <c r="N5" s="4" t="s">
        <v>432</v>
      </c>
      <c r="P5" t="s">
        <v>449</v>
      </c>
      <c r="Q5" s="7">
        <v>0.69999999999999996</v>
      </c>
    </row>
    <row r="6">
      <c r="B6" s="15"/>
      <c r="C6" s="15"/>
      <c r="L6" s="15">
        <v>1</v>
      </c>
      <c r="M6" t="e">
        <v>#NAME?</v>
      </c>
      <c r="N6">
        <f>(Q5+Q6)*(1+Q5*Q6)/(1+2*Q5*Q6+Q5^2)</f>
        <v>0.35537190082644599</v>
      </c>
      <c r="P6" t="s">
        <v>573</v>
      </c>
      <c r="Q6" s="13">
        <v>-0.20000000000000001</v>
      </c>
    </row>
    <row r="7">
      <c r="A7">
        <v>1</v>
      </c>
      <c r="B7">
        <v>0.11767564756553414</v>
      </c>
      <c r="C7">
        <f t="shared" ref="C7:C9" si="870">0.7*C6+B7-0.2*B6</f>
        <v>0.11767564756553402</v>
      </c>
      <c r="L7" s="15">
        <v>2</v>
      </c>
      <c r="M7" t="e">
        <v>#NAME?</v>
      </c>
      <c r="N7">
        <f t="shared" ref="N7:N10" si="871">N6*Q$5</f>
        <v>0.24876033057851199</v>
      </c>
    </row>
    <row r="8">
      <c r="A8">
        <f t="shared" ref="A8:A10" si="872">A7+1</f>
        <v>2</v>
      </c>
      <c r="B8">
        <v>0.64941326201616079</v>
      </c>
      <c r="C8">
        <f t="shared" si="870"/>
        <v>0.70825108579892804</v>
      </c>
      <c r="L8" s="15">
        <v>3</v>
      </c>
      <c r="M8" t="e">
        <v>#NAME?</v>
      </c>
      <c r="N8">
        <f t="shared" si="871"/>
        <v>0.17413223140495801</v>
      </c>
    </row>
    <row r="9">
      <c r="A9">
        <f t="shared" si="872"/>
        <v>3</v>
      </c>
      <c r="B9">
        <v>-2.0291245092742414</v>
      </c>
      <c r="C9">
        <f t="shared" si="870"/>
        <v>-1.6632314016182199</v>
      </c>
      <c r="L9" s="15">
        <v>4</v>
      </c>
      <c r="M9" t="e">
        <v>#NAME?</v>
      </c>
      <c r="N9">
        <f t="shared" si="871"/>
        <v>0.12189256198347101</v>
      </c>
    </row>
    <row r="10">
      <c r="A10">
        <f t="shared" si="872"/>
        <v>4</v>
      </c>
      <c r="B10">
        <v>-0.72108843846184933</v>
      </c>
      <c r="C10">
        <f>0.7*C9+B10-0.2*B9</f>
        <v>-1.4795255177397499</v>
      </c>
      <c r="L10" s="15">
        <v>5</v>
      </c>
      <c r="M10" t="e">
        <v>#NAME?</v>
      </c>
      <c r="N10">
        <f t="shared" si="871"/>
        <v>8.5324793388430006e-02</v>
      </c>
    </row>
    <row r="11">
      <c r="A11">
        <f t="shared" ref="A11:A74" si="873">A10+1</f>
        <v>5</v>
      </c>
      <c r="B11">
        <v>0.70747648649116812</v>
      </c>
      <c r="C11">
        <f t="shared" ref="C11:C74" si="874">0.7*C10+B11-0.2*B10</f>
        <v>-0.183973688234292</v>
      </c>
      <c r="L11" s="15">
        <v>6</v>
      </c>
      <c r="M11" t="e">
        <v>#NAME?</v>
      </c>
      <c r="N11">
        <f t="shared" ref="N11:N20" si="875">N10*Q$5</f>
        <v>5.9727355371901006e-02</v>
      </c>
    </row>
    <row r="12">
      <c r="A12">
        <f t="shared" si="873"/>
        <v>6</v>
      </c>
      <c r="B12">
        <v>0.79163430570821358</v>
      </c>
      <c r="C12">
        <f t="shared" si="874"/>
        <v>0.52135742664597595</v>
      </c>
      <c r="L12" s="15">
        <v>7</v>
      </c>
      <c r="M12" t="e">
        <v>#NAME?</v>
      </c>
      <c r="N12">
        <f t="shared" si="875"/>
        <v>4.1809148760330997e-02</v>
      </c>
    </row>
    <row r="13">
      <c r="A13">
        <f t="shared" si="873"/>
        <v>7</v>
      </c>
      <c r="B13">
        <v>-0.23542965362338003</v>
      </c>
      <c r="C13">
        <f t="shared" si="874"/>
        <v>-2.8806316112840003e-02</v>
      </c>
      <c r="L13" s="15">
        <v>8</v>
      </c>
      <c r="M13" t="e">
        <v>#NAME?</v>
      </c>
      <c r="N13">
        <f t="shared" si="875"/>
        <v>2.9266404132232002e-02</v>
      </c>
    </row>
    <row r="14">
      <c r="A14">
        <f t="shared" si="873"/>
        <v>8</v>
      </c>
      <c r="B14">
        <v>-1.3489481281427076</v>
      </c>
      <c r="C14">
        <f t="shared" si="874"/>
        <v>-1.32202661869702</v>
      </c>
      <c r="L14" s="15">
        <v>9</v>
      </c>
      <c r="M14" t="e">
        <v>#NAME?</v>
      </c>
      <c r="N14">
        <f t="shared" si="875"/>
        <v>2.0486482892562e-02</v>
      </c>
    </row>
    <row r="15">
      <c r="A15">
        <f t="shared" si="873"/>
        <v>9</v>
      </c>
      <c r="B15">
        <v>1.2055841066323034</v>
      </c>
      <c r="C15">
        <f t="shared" si="874"/>
        <v>0.54995509917292795</v>
      </c>
      <c r="L15" s="15">
        <v>10</v>
      </c>
      <c r="M15" t="e">
        <v>#NAME?</v>
      </c>
      <c r="N15">
        <f t="shared" si="875"/>
        <v>1.4340538024792999e-02</v>
      </c>
    </row>
    <row r="16">
      <c r="A16">
        <f t="shared" si="873"/>
        <v>10</v>
      </c>
      <c r="B16">
        <v>1.1838198499095891</v>
      </c>
      <c r="C16">
        <f t="shared" si="874"/>
        <v>1.32767159800418</v>
      </c>
      <c r="L16" s="15">
        <v>11</v>
      </c>
      <c r="M16" t="e">
        <v>#NAME?</v>
      </c>
      <c r="N16">
        <f t="shared" si="875"/>
        <v>1.0038376617355e-02</v>
      </c>
    </row>
    <row r="17">
      <c r="A17">
        <f t="shared" si="873"/>
        <v>11</v>
      </c>
      <c r="B17">
        <v>-0.37229539413802176</v>
      </c>
      <c r="C17">
        <f t="shared" si="874"/>
        <v>0.32031075448298602</v>
      </c>
      <c r="L17" s="15">
        <v>12</v>
      </c>
      <c r="M17" t="e">
        <v>#NAME?</v>
      </c>
      <c r="N17">
        <f t="shared" si="875"/>
        <v>7.0268636321489993e-03</v>
      </c>
    </row>
    <row r="18">
      <c r="A18">
        <f t="shared" si="873"/>
        <v>12</v>
      </c>
      <c r="B18">
        <v>1.3338509496353779e-02</v>
      </c>
      <c r="C18">
        <f t="shared" si="874"/>
        <v>0.31201511646204799</v>
      </c>
      <c r="L18" s="15">
        <v>13</v>
      </c>
      <c r="M18" t="e">
        <v>#NAME?</v>
      </c>
      <c r="N18">
        <f t="shared" si="875"/>
        <v>4.9188045425039998e-03</v>
      </c>
    </row>
    <row r="19">
      <c r="A19">
        <f t="shared" si="873"/>
        <v>13</v>
      </c>
      <c r="B19">
        <v>0.70245593167564913</v>
      </c>
      <c r="C19">
        <f t="shared" si="874"/>
        <v>0.91819881129981196</v>
      </c>
      <c r="L19" s="15">
        <v>14</v>
      </c>
      <c r="M19" t="e">
        <v>#NAME?</v>
      </c>
      <c r="N19">
        <f t="shared" si="875"/>
        <v>3.4431631797530002e-03</v>
      </c>
    </row>
    <row r="20">
      <c r="A20">
        <f t="shared" si="873"/>
        <v>14</v>
      </c>
      <c r="B20">
        <v>-0.35036242471588258</v>
      </c>
      <c r="C20">
        <f t="shared" si="874"/>
        <v>0.15188555685885499</v>
      </c>
      <c r="L20" s="17">
        <v>15</v>
      </c>
      <c r="M20" s="14" t="e">
        <v>#NAME?</v>
      </c>
      <c r="N20" s="14">
        <f t="shared" si="875"/>
        <v>2.4102142258269998e-03</v>
      </c>
    </row>
    <row r="21">
      <c r="A21">
        <f t="shared" si="873"/>
        <v>15</v>
      </c>
      <c r="B21">
        <v>0.21713729591053149</v>
      </c>
      <c r="C21">
        <f t="shared" si="874"/>
        <v>0.39352967065490801</v>
      </c>
    </row>
    <row r="22">
      <c r="A22">
        <f t="shared" si="873"/>
        <v>16</v>
      </c>
      <c r="B22">
        <v>-0.50660744040413153</v>
      </c>
      <c r="C22">
        <f t="shared" si="874"/>
        <v>-0.27456413012780201</v>
      </c>
    </row>
    <row r="23">
      <c r="A23">
        <f t="shared" si="873"/>
        <v>17</v>
      </c>
      <c r="B23">
        <v>1.3197112250332259</v>
      </c>
      <c r="C23">
        <f t="shared" si="874"/>
        <v>1.2288378220245999</v>
      </c>
    </row>
    <row r="24">
      <c r="A24">
        <f t="shared" si="873"/>
        <v>18</v>
      </c>
      <c r="B24">
        <v>2.0721563220833827</v>
      </c>
      <c r="C24">
        <f t="shared" si="874"/>
        <v>2.6684005524939498</v>
      </c>
    </row>
    <row r="25">
      <c r="A25">
        <f t="shared" si="873"/>
        <v>19</v>
      </c>
      <c r="B25">
        <v>1.9642789414916848</v>
      </c>
      <c r="C25">
        <f t="shared" si="874"/>
        <v>3.4177280638207601</v>
      </c>
    </row>
    <row r="26">
      <c r="A26">
        <f t="shared" si="873"/>
        <v>20</v>
      </c>
      <c r="B26">
        <v>0.23964330043753548</v>
      </c>
      <c r="C26">
        <f t="shared" si="874"/>
        <v>2.2391971568137299</v>
      </c>
    </row>
    <row r="27">
      <c r="A27">
        <f t="shared" si="873"/>
        <v>21</v>
      </c>
      <c r="B27">
        <v>0.60305056491796249</v>
      </c>
      <c r="C27">
        <f t="shared" si="874"/>
        <v>2.12255991460006</v>
      </c>
    </row>
    <row r="28">
      <c r="A28">
        <f t="shared" si="873"/>
        <v>22</v>
      </c>
      <c r="B28">
        <v>-0.90138311182696318</v>
      </c>
      <c r="C28">
        <f t="shared" si="874"/>
        <v>0.46379871540948397</v>
      </c>
    </row>
    <row r="29">
      <c r="A29">
        <f t="shared" si="873"/>
        <v>23</v>
      </c>
      <c r="B29">
        <v>-1.0557411773368033</v>
      </c>
      <c r="C29">
        <f t="shared" si="874"/>
        <v>-0.55080545418476801</v>
      </c>
    </row>
    <row r="30">
      <c r="A30">
        <f t="shared" si="873"/>
        <v>24</v>
      </c>
      <c r="B30">
        <v>1.3573618295701022</v>
      </c>
      <c r="C30">
        <f t="shared" si="874"/>
        <v>1.18294624710812</v>
      </c>
    </row>
    <row r="31">
      <c r="A31">
        <f t="shared" si="873"/>
        <v>25</v>
      </c>
      <c r="B31">
        <v>-2.969888722096329</v>
      </c>
      <c r="C31">
        <f t="shared" si="874"/>
        <v>-2.4132987150346699</v>
      </c>
    </row>
    <row r="32">
      <c r="A32">
        <f t="shared" si="873"/>
        <v>26</v>
      </c>
      <c r="B32">
        <v>2.0748019655504284</v>
      </c>
      <c r="C32">
        <f t="shared" si="874"/>
        <v>0.97947060944542597</v>
      </c>
    </row>
    <row r="33">
      <c r="A33">
        <f t="shared" si="873"/>
        <v>27</v>
      </c>
      <c r="B33">
        <v>0.28021329874765349</v>
      </c>
      <c r="C33">
        <f t="shared" si="874"/>
        <v>0.550882332249366</v>
      </c>
    </row>
    <row r="34">
      <c r="A34">
        <f t="shared" si="873"/>
        <v>28</v>
      </c>
      <c r="B34">
        <v>0.89834644475651204</v>
      </c>
      <c r="C34">
        <f t="shared" si="874"/>
        <v>1.2279214175815401</v>
      </c>
    </row>
    <row r="35">
      <c r="A35">
        <f t="shared" si="873"/>
        <v>29</v>
      </c>
      <c r="B35">
        <v>-1.603382387248506</v>
      </c>
      <c r="C35">
        <f t="shared" si="874"/>
        <v>-0.92350668389273394</v>
      </c>
    </row>
    <row r="36">
      <c r="A36">
        <f t="shared" si="873"/>
        <v>30</v>
      </c>
      <c r="B36">
        <v>0.23549924558665486</v>
      </c>
      <c r="C36">
        <f t="shared" si="874"/>
        <v>-9.0278955688556997e-02</v>
      </c>
    </row>
    <row r="37">
      <c r="A37">
        <f t="shared" si="873"/>
        <v>31</v>
      </c>
      <c r="B37">
        <v>1.7940884644624944</v>
      </c>
      <c r="C37">
        <f t="shared" si="874"/>
        <v>1.68379334636317</v>
      </c>
    </row>
    <row r="38">
      <c r="A38">
        <f t="shared" si="873"/>
        <v>32</v>
      </c>
      <c r="B38">
        <v>-1.4306090977486423</v>
      </c>
      <c r="C38">
        <f t="shared" si="874"/>
        <v>-0.61077144818691798</v>
      </c>
    </row>
    <row r="39">
      <c r="A39">
        <f t="shared" si="873"/>
        <v>33</v>
      </c>
      <c r="B39">
        <v>1.4224628570818738</v>
      </c>
      <c r="C39">
        <f t="shared" si="874"/>
        <v>1.2810446629007599</v>
      </c>
    </row>
    <row r="40">
      <c r="A40">
        <f t="shared" si="873"/>
        <v>34</v>
      </c>
      <c r="B40">
        <v>-1.5344845213207501</v>
      </c>
      <c r="C40">
        <f t="shared" si="874"/>
        <v>-0.92224582870659189</v>
      </c>
    </row>
    <row r="41">
      <c r="A41">
        <f t="shared" si="873"/>
        <v>35</v>
      </c>
      <c r="B41">
        <v>-0.23943486259011687</v>
      </c>
      <c r="C41">
        <f t="shared" si="874"/>
        <v>-0.57811003842058095</v>
      </c>
    </row>
    <row r="42">
      <c r="A42">
        <f t="shared" si="873"/>
        <v>36</v>
      </c>
      <c r="B42">
        <v>1.1254873384110666</v>
      </c>
      <c r="C42">
        <f t="shared" si="874"/>
        <v>0.76869728403468596</v>
      </c>
    </row>
    <row r="43">
      <c r="A43">
        <f t="shared" si="873"/>
        <v>37</v>
      </c>
      <c r="B43">
        <v>-0.26828564280553119</v>
      </c>
      <c r="C43">
        <f t="shared" si="874"/>
        <v>4.4704988336535002e-02</v>
      </c>
    </row>
    <row r="44">
      <c r="A44">
        <f t="shared" si="873"/>
        <v>38</v>
      </c>
      <c r="B44">
        <v>-0.5822900860434399</v>
      </c>
      <c r="C44">
        <f t="shared" si="874"/>
        <v>-0.49733946564675902</v>
      </c>
    </row>
    <row r="45">
      <c r="A45">
        <f t="shared" si="873"/>
        <v>39</v>
      </c>
      <c r="B45">
        <v>2.2483238493907365</v>
      </c>
      <c r="C45">
        <f t="shared" si="874"/>
        <v>2.0166442406466998</v>
      </c>
    </row>
    <row r="46">
      <c r="A46">
        <f t="shared" si="873"/>
        <v>40</v>
      </c>
      <c r="B46">
        <v>-1.3543974073052196</v>
      </c>
      <c r="C46">
        <f t="shared" si="874"/>
        <v>-0.39241120873067797</v>
      </c>
    </row>
    <row r="47">
      <c r="A47">
        <f t="shared" si="873"/>
        <v>41</v>
      </c>
      <c r="B47">
        <v>0.48261152802448642</v>
      </c>
      <c r="C47">
        <f t="shared" si="874"/>
        <v>0.47880316337405598</v>
      </c>
    </row>
    <row r="48">
      <c r="A48">
        <f t="shared" si="873"/>
        <v>42</v>
      </c>
      <c r="B48">
        <v>-0.10749079290397742</v>
      </c>
      <c r="C48">
        <f t="shared" si="874"/>
        <v>0.13114911585296499</v>
      </c>
    </row>
    <row r="49">
      <c r="A49">
        <f t="shared" si="873"/>
        <v>43</v>
      </c>
      <c r="B49">
        <v>-0.80304736276954691</v>
      </c>
      <c r="C49">
        <f t="shared" si="874"/>
        <v>-0.68974482309167595</v>
      </c>
    </row>
    <row r="50">
      <c r="A50">
        <f t="shared" si="873"/>
        <v>44</v>
      </c>
      <c r="B50">
        <v>0.2754508892602448</v>
      </c>
      <c r="C50">
        <f t="shared" si="874"/>
        <v>-4.6761014350019003e-02</v>
      </c>
    </row>
    <row r="51">
      <c r="A51">
        <f t="shared" si="873"/>
        <v>45</v>
      </c>
      <c r="B51">
        <v>1.990693199567108e-02</v>
      </c>
      <c r="C51">
        <f t="shared" si="874"/>
        <v>-6.7915955901391004e-02</v>
      </c>
    </row>
    <row r="52">
      <c r="A52">
        <f t="shared" si="873"/>
        <v>46</v>
      </c>
      <c r="B52">
        <v>1.6866252840670588</v>
      </c>
      <c r="C52">
        <f t="shared" si="874"/>
        <v>1.6351027285369599</v>
      </c>
    </row>
    <row r="53">
      <c r="A53">
        <f t="shared" si="873"/>
        <v>47</v>
      </c>
      <c r="B53">
        <v>-0.37900350643042596</v>
      </c>
      <c r="C53">
        <f t="shared" si="874"/>
        <v>0.42824334673203202</v>
      </c>
    </row>
    <row r="54">
      <c r="A54">
        <f t="shared" si="873"/>
        <v>48</v>
      </c>
      <c r="B54">
        <v>-0.68133999121505795</v>
      </c>
      <c r="C54">
        <f t="shared" si="874"/>
        <v>-0.30576894721655101</v>
      </c>
    </row>
    <row r="55">
      <c r="A55">
        <f t="shared" si="873"/>
        <v>49</v>
      </c>
      <c r="B55">
        <v>0.24680727410891504</v>
      </c>
      <c r="C55">
        <f t="shared" si="874"/>
        <v>0.16903700930034099</v>
      </c>
    </row>
    <row r="56">
      <c r="A56">
        <f t="shared" si="873"/>
        <v>50</v>
      </c>
      <c r="B56">
        <v>0.41769144074806713</v>
      </c>
      <c r="C56">
        <f t="shared" si="874"/>
        <v>0.48665589243652302</v>
      </c>
    </row>
    <row r="57">
      <c r="A57">
        <f t="shared" si="873"/>
        <v>51</v>
      </c>
      <c r="B57">
        <v>0.39902892938942136</v>
      </c>
      <c r="C57">
        <f t="shared" si="874"/>
        <v>0.656149765945374</v>
      </c>
    </row>
    <row r="58">
      <c r="A58">
        <f t="shared" si="873"/>
        <v>52</v>
      </c>
      <c r="B58">
        <v>-0.25018139554307461</v>
      </c>
      <c r="C58">
        <f t="shared" si="874"/>
        <v>0.12931765474080301</v>
      </c>
    </row>
    <row r="59">
      <c r="A59">
        <f t="shared" si="873"/>
        <v>53</v>
      </c>
      <c r="B59">
        <v>-1.1742528233216154</v>
      </c>
      <c r="C59">
        <f t="shared" si="874"/>
        <v>-1.0336941858944499</v>
      </c>
    </row>
    <row r="60">
      <c r="A60">
        <f t="shared" si="873"/>
        <v>54</v>
      </c>
      <c r="B60">
        <v>-1.404513152364584</v>
      </c>
      <c r="C60">
        <f t="shared" si="874"/>
        <v>-1.89324851782638</v>
      </c>
    </row>
    <row r="61">
      <c r="A61">
        <f t="shared" si="873"/>
        <v>55</v>
      </c>
      <c r="B61">
        <v>-0.28172987991615123</v>
      </c>
      <c r="C61">
        <f t="shared" si="874"/>
        <v>-1.3261012119216999</v>
      </c>
    </row>
    <row r="62">
      <c r="A62">
        <f t="shared" si="873"/>
        <v>56</v>
      </c>
      <c r="B62">
        <v>-0.38821298272001858</v>
      </c>
      <c r="C62">
        <f t="shared" si="874"/>
        <v>-1.26013785508198</v>
      </c>
    </row>
    <row r="63">
      <c r="A63">
        <f t="shared" si="873"/>
        <v>57</v>
      </c>
      <c r="B63">
        <v>-0.43156998564742921</v>
      </c>
      <c r="C63">
        <f t="shared" si="874"/>
        <v>-1.2360238876608201</v>
      </c>
    </row>
    <row r="64">
      <c r="A64">
        <f t="shared" si="873"/>
        <v>58</v>
      </c>
      <c r="B64">
        <v>1.386535004851783</v>
      </c>
      <c r="C64">
        <f t="shared" si="874"/>
        <v>0.60763228061869201</v>
      </c>
    </row>
    <row r="65">
      <c r="A65">
        <f t="shared" si="873"/>
        <v>59</v>
      </c>
      <c r="B65">
        <v>-1.3017512220934879</v>
      </c>
      <c r="C65">
        <f t="shared" si="874"/>
        <v>-1.15371562663076</v>
      </c>
    </row>
    <row r="66">
      <c r="A66">
        <f t="shared" si="873"/>
        <v>60</v>
      </c>
      <c r="B66">
        <v>-1.2553188286181356</v>
      </c>
      <c r="C66">
        <f t="shared" si="874"/>
        <v>-1.8025695228409699</v>
      </c>
    </row>
    <row r="67">
      <c r="A67">
        <f t="shared" si="873"/>
        <v>61</v>
      </c>
      <c r="B67">
        <v>0.71120271461460161</v>
      </c>
      <c r="C67">
        <f t="shared" si="874"/>
        <v>-0.29953218565044998</v>
      </c>
    </row>
    <row r="68">
      <c r="A68">
        <f t="shared" si="873"/>
        <v>62</v>
      </c>
      <c r="B68">
        <v>-0.14927846160621394</v>
      </c>
      <c r="C68">
        <f t="shared" si="874"/>
        <v>-0.50119153448444898</v>
      </c>
    </row>
    <row r="69">
      <c r="A69">
        <f t="shared" si="873"/>
        <v>63</v>
      </c>
      <c r="B69">
        <v>2.1364162498976987e-02</v>
      </c>
      <c r="C69">
        <f t="shared" si="874"/>
        <v>-0.29961421931889398</v>
      </c>
    </row>
    <row r="70">
      <c r="A70">
        <f t="shared" si="873"/>
        <v>64</v>
      </c>
      <c r="B70">
        <v>3.3630781181214632e-02</v>
      </c>
      <c r="C70">
        <f t="shared" si="874"/>
        <v>-0.18037200484180599</v>
      </c>
    </row>
    <row r="71">
      <c r="A71">
        <f t="shared" si="873"/>
        <v>65</v>
      </c>
      <c r="B71">
        <v>2.4900321457140446</v>
      </c>
      <c r="C71">
        <f t="shared" si="874"/>
        <v>2.35704558608855</v>
      </c>
    </row>
    <row r="72">
      <c r="A72">
        <f t="shared" si="873"/>
        <v>66</v>
      </c>
      <c r="B72">
        <v>-0.22832106642044353</v>
      </c>
      <c r="C72">
        <f t="shared" si="874"/>
        <v>0.92360441469873999</v>
      </c>
    </row>
    <row r="73">
      <c r="A73">
        <f t="shared" si="873"/>
        <v>67</v>
      </c>
      <c r="B73">
        <v>-0.99142145654823755</v>
      </c>
      <c r="C73">
        <f t="shared" si="874"/>
        <v>-0.29923415297503098</v>
      </c>
    </row>
    <row r="74">
      <c r="A74">
        <f t="shared" si="873"/>
        <v>68</v>
      </c>
      <c r="B74">
        <v>0.28534068077982994</v>
      </c>
      <c r="C74">
        <f t="shared" si="874"/>
        <v>0.27416106500695597</v>
      </c>
    </row>
    <row r="75">
      <c r="A75">
        <f t="shared" ref="A75:A100" si="876">A74+1</f>
        <v>69</v>
      </c>
      <c r="B75">
        <v>-0.37876373558789128</v>
      </c>
      <c r="C75">
        <f t="shared" ref="C75:C99" si="877">0.7*C74+B75-0.2*B74</f>
        <v>-0.24391912623898801</v>
      </c>
    </row>
    <row r="76">
      <c r="A76">
        <f t="shared" si="876"/>
        <v>70</v>
      </c>
      <c r="B76">
        <v>-0.6172775165552018</v>
      </c>
      <c r="C76">
        <f t="shared" si="877"/>
        <v>-0.71226815780491604</v>
      </c>
    </row>
    <row r="77">
      <c r="A77">
        <f t="shared" si="876"/>
        <v>71</v>
      </c>
      <c r="B77">
        <v>-0.83006009584136975</v>
      </c>
      <c r="C77">
        <f t="shared" si="877"/>
        <v>-1.2051923029937699</v>
      </c>
    </row>
    <row r="78">
      <c r="A78">
        <f t="shared" si="876"/>
        <v>72</v>
      </c>
      <c r="B78">
        <v>0.62978853825533521</v>
      </c>
      <c r="C78">
        <f t="shared" si="877"/>
        <v>-4.7834054672030002e-02</v>
      </c>
    </row>
    <row r="79">
      <c r="A79">
        <f t="shared" si="876"/>
        <v>73</v>
      </c>
      <c r="B79">
        <v>-0.694040660745746</v>
      </c>
      <c r="C79">
        <f t="shared" si="877"/>
        <v>-0.85348220666723384</v>
      </c>
    </row>
    <row r="80">
      <c r="A80">
        <f t="shared" si="876"/>
        <v>74</v>
      </c>
      <c r="B80">
        <v>-1.129297764638155</v>
      </c>
      <c r="C80">
        <f t="shared" si="877"/>
        <v>-1.5879271771560699</v>
      </c>
    </row>
    <row r="81">
      <c r="A81">
        <f t="shared" si="876"/>
        <v>75</v>
      </c>
      <c r="B81">
        <v>0.6095368117304879</v>
      </c>
      <c r="C81">
        <f t="shared" si="877"/>
        <v>-0.27615265935112998</v>
      </c>
    </row>
    <row r="82">
      <c r="A82">
        <f t="shared" si="876"/>
        <v>76</v>
      </c>
      <c r="B82">
        <v>-1.2359970227306327</v>
      </c>
      <c r="C82">
        <f t="shared" si="877"/>
        <v>-1.5512112466225201</v>
      </c>
    </row>
    <row r="83">
      <c r="A83">
        <f t="shared" si="876"/>
        <v>77</v>
      </c>
      <c r="B83">
        <v>0.14781809608735161</v>
      </c>
      <c r="C83">
        <f t="shared" si="877"/>
        <v>-0.69083037200228203</v>
      </c>
    </row>
    <row r="84">
      <c r="A84">
        <f t="shared" si="876"/>
        <v>78</v>
      </c>
      <c r="B84">
        <v>0.14223995185972241</v>
      </c>
      <c r="C84">
        <f t="shared" si="877"/>
        <v>-0.37090492775934503</v>
      </c>
    </row>
    <row r="85">
      <c r="A85">
        <f t="shared" si="876"/>
        <v>79</v>
      </c>
      <c r="B85">
        <v>0.78683578193082893</v>
      </c>
      <c r="C85">
        <f t="shared" si="877"/>
        <v>0.49875434212734299</v>
      </c>
    </row>
    <row r="86">
      <c r="A86">
        <f t="shared" si="876"/>
        <v>80</v>
      </c>
      <c r="B86">
        <v>-2.0572048484731567</v>
      </c>
      <c r="C86">
        <f t="shared" si="877"/>
        <v>-1.86544396537019</v>
      </c>
    </row>
    <row r="87">
      <c r="A87">
        <f t="shared" si="876"/>
        <v>81</v>
      </c>
      <c r="B87">
        <v>4.9553368430570136e-02</v>
      </c>
      <c r="C87">
        <f t="shared" si="877"/>
        <v>-0.844816437633928</v>
      </c>
    </row>
    <row r="88">
      <c r="A88">
        <f t="shared" si="876"/>
        <v>82</v>
      </c>
      <c r="B88">
        <v>-1.4066323798943019</v>
      </c>
      <c r="C88">
        <f t="shared" si="877"/>
        <v>-2.0079145599241599</v>
      </c>
    </row>
    <row r="89">
      <c r="A89">
        <f t="shared" si="876"/>
        <v>83</v>
      </c>
      <c r="B89">
        <v>1.5637407126388041</v>
      </c>
      <c r="C89">
        <f t="shared" si="877"/>
        <v>0.43952699667075007</v>
      </c>
    </row>
    <row r="90">
      <c r="A90">
        <f t="shared" si="876"/>
        <v>84</v>
      </c>
      <c r="B90">
        <v>1.1803319732811373</v>
      </c>
      <c r="C90">
        <f t="shared" si="877"/>
        <v>1.17525272842291</v>
      </c>
    </row>
    <row r="91">
      <c r="A91">
        <f t="shared" si="876"/>
        <v>85</v>
      </c>
      <c r="B91">
        <v>-0.6651070261756501</v>
      </c>
      <c r="C91">
        <f t="shared" si="877"/>
        <v>-7.8496510935840993e-02</v>
      </c>
    </row>
    <row r="92">
      <c r="A92">
        <f t="shared" si="876"/>
        <v>86</v>
      </c>
      <c r="B92">
        <v>0.57494501634557915</v>
      </c>
      <c r="C92">
        <f t="shared" si="877"/>
        <v>0.65301886392562003</v>
      </c>
    </row>
    <row r="93">
      <c r="A93">
        <f t="shared" si="876"/>
        <v>87</v>
      </c>
      <c r="B93">
        <v>-4.1159165518735163e-02</v>
      </c>
      <c r="C93">
        <f t="shared" si="877"/>
        <v>0.300965035960083</v>
      </c>
    </row>
    <row r="94">
      <c r="A94">
        <f t="shared" si="876"/>
        <v>88</v>
      </c>
      <c r="B94">
        <v>-0.89619571623511651</v>
      </c>
      <c r="C94">
        <f t="shared" si="877"/>
        <v>-0.67728835795931197</v>
      </c>
    </row>
    <row r="95">
      <c r="A95">
        <f t="shared" si="876"/>
        <v>89</v>
      </c>
      <c r="B95">
        <v>1.503359605306662</v>
      </c>
      <c r="C95">
        <f t="shared" si="877"/>
        <v>1.20849689798216</v>
      </c>
    </row>
    <row r="96">
      <c r="A96">
        <f t="shared" si="876"/>
        <v>90</v>
      </c>
      <c r="B96">
        <v>-0.71156365631100771</v>
      </c>
      <c r="C96">
        <f t="shared" si="877"/>
        <v>-0.16628774878482799</v>
      </c>
    </row>
    <row r="97">
      <c r="A97">
        <f t="shared" si="876"/>
        <v>91</v>
      </c>
      <c r="B97">
        <v>0.98331759725438272</v>
      </c>
      <c r="C97">
        <f t="shared" si="877"/>
        <v>1.00922890436721</v>
      </c>
    </row>
    <row r="98">
      <c r="A98">
        <f t="shared" si="876"/>
        <v>92</v>
      </c>
      <c r="B98">
        <v>-0.83758504934694744</v>
      </c>
      <c r="C98">
        <f t="shared" si="877"/>
        <v>-0.32778833574077798</v>
      </c>
    </row>
    <row r="99">
      <c r="A99">
        <f t="shared" si="876"/>
        <v>93</v>
      </c>
      <c r="B99">
        <v>-1.916010009424536</v>
      </c>
      <c r="C99">
        <f t="shared" si="877"/>
        <v>-1.9779448345737001</v>
      </c>
    </row>
    <row r="100">
      <c r="A100">
        <f t="shared" si="876"/>
        <v>94</v>
      </c>
      <c r="B100">
        <v>0.10151986902498664</v>
      </c>
      <c r="C100">
        <f>0.7*C99+B100-0.2*B99</f>
        <v>-0.89983951329169209</v>
      </c>
    </row>
    <row r="101">
      <c r="A101">
        <f t="shared" ref="A101:A111" si="878">A100+1</f>
        <v>95</v>
      </c>
      <c r="B101">
        <v>0.94375520294114756</v>
      </c>
      <c r="C101">
        <f t="shared" ref="C101:C111" si="879">0.7*C100+B101-0.2*B100</f>
        <v>0.29356356983196702</v>
      </c>
    </row>
    <row r="102">
      <c r="A102">
        <f t="shared" si="878"/>
        <v>96</v>
      </c>
      <c r="B102">
        <v>0.85739443406232341</v>
      </c>
      <c r="C102">
        <f t="shared" si="879"/>
        <v>0.87413789235646999</v>
      </c>
    </row>
    <row r="103">
      <c r="A103">
        <f t="shared" si="878"/>
        <v>97</v>
      </c>
      <c r="B103">
        <v>0.60817129254501401</v>
      </c>
      <c r="C103">
        <f t="shared" si="879"/>
        <v>1.0485889303820799</v>
      </c>
    </row>
    <row r="104">
      <c r="A104">
        <f t="shared" si="878"/>
        <v>98</v>
      </c>
      <c r="B104">
        <v>-0.23527438435259729</v>
      </c>
      <c r="C104">
        <f t="shared" si="879"/>
        <v>0.37710360840585599</v>
      </c>
    </row>
    <row r="105">
      <c r="A105">
        <f t="shared" si="878"/>
        <v>99</v>
      </c>
      <c r="B105">
        <v>0.78970600372079691</v>
      </c>
      <c r="C105">
        <f t="shared" si="879"/>
        <v>1.10073340647542</v>
      </c>
    </row>
    <row r="106">
      <c r="A106">
        <f t="shared" si="878"/>
        <v>100</v>
      </c>
      <c r="B106">
        <v>-1.0561154940171853</v>
      </c>
      <c r="C106">
        <f t="shared" si="879"/>
        <v>-0.44354331022855498</v>
      </c>
    </row>
    <row r="107">
      <c r="A107">
        <f t="shared" si="878"/>
        <v>101</v>
      </c>
      <c r="B107">
        <v>0.22586923055446756</v>
      </c>
      <c r="C107">
        <f t="shared" si="879"/>
        <v>0.12661201219791701</v>
      </c>
    </row>
    <row r="108">
      <c r="A108">
        <f t="shared" si="878"/>
        <v>102</v>
      </c>
      <c r="B108">
        <v>0.57520223729110798</v>
      </c>
      <c r="C108">
        <f t="shared" si="879"/>
        <v>0.61865679971875598</v>
      </c>
    </row>
    <row r="109">
      <c r="A109">
        <f t="shared" si="878"/>
        <v>103</v>
      </c>
      <c r="B109">
        <v>1.0513583351687668</v>
      </c>
      <c r="C109">
        <f t="shared" si="879"/>
        <v>1.3693776475136801</v>
      </c>
    </row>
    <row r="110">
      <c r="A110">
        <f t="shared" si="878"/>
        <v>104</v>
      </c>
      <c r="B110">
        <v>1.3149534009556495e-02</v>
      </c>
      <c r="C110">
        <f t="shared" si="879"/>
        <v>0.761442220235378</v>
      </c>
    </row>
    <row r="111">
      <c r="A111">
        <f t="shared" si="878"/>
        <v>105</v>
      </c>
      <c r="B111" s="14">
        <v>1.4243854081201066</v>
      </c>
      <c r="C111" s="14">
        <f t="shared" si="879"/>
        <v>1.9547650554829701</v>
      </c>
    </row>
    <row r="113">
      <c r="B113" s="20" t="s">
        <v>576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12" max="12" width="7.8125"/>
    <col customWidth="1" min="13" max="14" width="9.8125"/>
    <col customWidth="1" min="15" max="15" width="6.7232139999999996"/>
    <col customWidth="1" min="16" max="16" width="4.7232139999999996"/>
    <col customWidth="1" min="17" max="17" width="5.2678570000000002"/>
  </cols>
  <sheetData>
    <row r="1">
      <c r="A1" s="1" t="s">
        <v>574</v>
      </c>
    </row>
    <row r="2" s="55" customFormat="1"/>
    <row r="3" s="55" customFormat="1" ht="15" customHeight="1">
      <c r="A3" s="55" t="s">
        <v>577</v>
      </c>
    </row>
    <row r="4" s="55" customFormat="1"/>
    <row r="5">
      <c r="B5" s="4" t="s">
        <v>342</v>
      </c>
      <c r="C5" s="4" t="s">
        <v>343</v>
      </c>
      <c r="L5" s="4" t="s">
        <v>291</v>
      </c>
      <c r="M5" s="4" t="s">
        <v>292</v>
      </c>
      <c r="N5" s="4" t="s">
        <v>432</v>
      </c>
      <c r="P5" t="s">
        <v>449</v>
      </c>
      <c r="Q5" s="7">
        <v>0.69999999999999996</v>
      </c>
    </row>
    <row r="6">
      <c r="B6" s="15"/>
      <c r="C6" s="15"/>
      <c r="L6" s="15">
        <v>1</v>
      </c>
      <c r="M6" t="e">
        <v>#NAME?</v>
      </c>
      <c r="N6">
        <f>(Q5+Q6)*(1+Q5*Q6)/(1+2*Q5*Q6+Q5^2)</f>
        <v>0.35537190082644599</v>
      </c>
      <c r="P6" t="s">
        <v>573</v>
      </c>
      <c r="Q6" s="13">
        <v>-0.20000000000000001</v>
      </c>
    </row>
    <row r="7">
      <c r="A7">
        <v>1</v>
      </c>
      <c r="B7">
        <v>0.11767564756553414</v>
      </c>
      <c r="C7">
        <f t="shared" ref="C7:C9" si="880">3+0.7*C6+B7-0.2*B6</f>
        <v>3.1176756475655298</v>
      </c>
      <c r="L7" s="15">
        <v>2</v>
      </c>
      <c r="M7" t="e">
        <v>#NAME?</v>
      </c>
      <c r="N7">
        <f t="shared" ref="N7:N10" si="881">N6*Q$5</f>
        <v>0.24876033057851199</v>
      </c>
    </row>
    <row r="8">
      <c r="A8">
        <f t="shared" ref="A8:A10" si="882">A7+1</f>
        <v>2</v>
      </c>
      <c r="B8">
        <v>0.64941326201616079</v>
      </c>
      <c r="C8">
        <f t="shared" si="880"/>
        <v>5.8082510857989202</v>
      </c>
      <c r="L8" s="15">
        <v>3</v>
      </c>
      <c r="M8" t="e">
        <v>#NAME?</v>
      </c>
      <c r="N8">
        <f t="shared" si="881"/>
        <v>0.17413223140495801</v>
      </c>
    </row>
    <row r="9">
      <c r="A9">
        <f t="shared" si="882"/>
        <v>3</v>
      </c>
      <c r="B9">
        <v>-2.0291245092742414</v>
      </c>
      <c r="C9">
        <f t="shared" si="880"/>
        <v>4.9067685983817801</v>
      </c>
      <c r="L9" s="15">
        <v>4</v>
      </c>
      <c r="M9" t="e">
        <v>#NAME?</v>
      </c>
      <c r="N9">
        <f t="shared" si="881"/>
        <v>0.12189256198347101</v>
      </c>
    </row>
    <row r="10">
      <c r="A10">
        <f t="shared" si="882"/>
        <v>4</v>
      </c>
      <c r="B10">
        <v>-0.72108843846184933</v>
      </c>
      <c r="C10">
        <f>3+0.7*C9+B10-0.2*B9</f>
        <v>6.1194744822602498</v>
      </c>
      <c r="L10" s="15">
        <v>5</v>
      </c>
      <c r="M10" t="e">
        <v>#NAME?</v>
      </c>
      <c r="N10">
        <f t="shared" si="881"/>
        <v>8.5324793388430006e-02</v>
      </c>
    </row>
    <row r="11">
      <c r="A11">
        <f t="shared" ref="A11:A74" si="883">A10+1</f>
        <v>5</v>
      </c>
      <c r="B11">
        <v>0.70747648649116812</v>
      </c>
      <c r="C11">
        <f t="shared" ref="C11:C74" si="884">3+0.7*C10+B11-0.2*B10</f>
        <v>8.13532631176572</v>
      </c>
      <c r="L11" s="15">
        <v>6</v>
      </c>
      <c r="M11" t="e">
        <v>#NAME?</v>
      </c>
      <c r="N11">
        <f t="shared" ref="N11:N20" si="885">N10*Q$5</f>
        <v>5.9727355371901006e-02</v>
      </c>
    </row>
    <row r="12">
      <c r="A12">
        <f t="shared" si="883"/>
        <v>6</v>
      </c>
      <c r="B12">
        <v>0.79163430570821358</v>
      </c>
      <c r="C12">
        <f t="shared" si="884"/>
        <v>9.3448674266459903</v>
      </c>
      <c r="L12" s="15">
        <v>7</v>
      </c>
      <c r="M12" t="e">
        <v>#NAME?</v>
      </c>
      <c r="N12">
        <f t="shared" si="885"/>
        <v>4.1809148760330997e-02</v>
      </c>
    </row>
    <row r="13">
      <c r="A13">
        <f t="shared" si="883"/>
        <v>7</v>
      </c>
      <c r="B13">
        <v>-0.23542965362338003</v>
      </c>
      <c r="C13">
        <f t="shared" si="884"/>
        <v>9.1476506838871696</v>
      </c>
      <c r="L13" s="15">
        <v>8</v>
      </c>
      <c r="M13" t="e">
        <v>#NAME?</v>
      </c>
      <c r="N13">
        <f t="shared" si="885"/>
        <v>2.9266404132232002e-02</v>
      </c>
    </row>
    <row r="14">
      <c r="A14">
        <f t="shared" si="883"/>
        <v>8</v>
      </c>
      <c r="B14">
        <v>-1.3489481281427076</v>
      </c>
      <c r="C14">
        <f t="shared" si="884"/>
        <v>8.1014932813029894</v>
      </c>
      <c r="L14" s="15">
        <v>9</v>
      </c>
      <c r="M14" t="e">
        <v>#NAME?</v>
      </c>
      <c r="N14">
        <f t="shared" si="885"/>
        <v>2.0486482892562e-02</v>
      </c>
    </row>
    <row r="15">
      <c r="A15">
        <f t="shared" si="883"/>
        <v>9</v>
      </c>
      <c r="B15">
        <v>1.2055841066323034</v>
      </c>
      <c r="C15">
        <f t="shared" si="884"/>
        <v>10.1464190291729</v>
      </c>
      <c r="L15" s="15">
        <v>10</v>
      </c>
      <c r="M15" t="e">
        <v>#NAME?</v>
      </c>
      <c r="N15">
        <f t="shared" si="885"/>
        <v>1.4340538024792999e-02</v>
      </c>
    </row>
    <row r="16">
      <c r="A16">
        <f t="shared" si="883"/>
        <v>10</v>
      </c>
      <c r="B16">
        <v>1.1838198499095891</v>
      </c>
      <c r="C16">
        <f t="shared" si="884"/>
        <v>11.045196349004099</v>
      </c>
      <c r="L16" s="15">
        <v>11</v>
      </c>
      <c r="M16" t="e">
        <v>#NAME?</v>
      </c>
      <c r="N16">
        <f t="shared" si="885"/>
        <v>1.0038376617355e-02</v>
      </c>
    </row>
    <row r="17">
      <c r="A17">
        <f t="shared" si="883"/>
        <v>11</v>
      </c>
      <c r="B17">
        <v>-0.37229539413802176</v>
      </c>
      <c r="C17">
        <f t="shared" si="884"/>
        <v>10.122578080183001</v>
      </c>
      <c r="L17" s="15">
        <v>12</v>
      </c>
      <c r="M17" t="e">
        <v>#NAME?</v>
      </c>
      <c r="N17">
        <f t="shared" si="885"/>
        <v>7.0268636321489993e-03</v>
      </c>
    </row>
    <row r="18">
      <c r="A18">
        <f t="shared" si="883"/>
        <v>12</v>
      </c>
      <c r="B18">
        <v>1.3338509496353779e-02</v>
      </c>
      <c r="C18">
        <f t="shared" si="884"/>
        <v>10.1736022444521</v>
      </c>
      <c r="L18" s="15">
        <v>13</v>
      </c>
      <c r="M18" t="e">
        <v>#NAME?</v>
      </c>
      <c r="N18">
        <f t="shared" si="885"/>
        <v>4.9188045425039998e-03</v>
      </c>
    </row>
    <row r="19">
      <c r="A19">
        <f t="shared" si="883"/>
        <v>13</v>
      </c>
      <c r="B19">
        <v>0.70245593167564913</v>
      </c>
      <c r="C19">
        <f t="shared" si="884"/>
        <v>10.8213098008929</v>
      </c>
      <c r="L19" s="15">
        <v>14</v>
      </c>
      <c r="M19" t="e">
        <v>#NAME?</v>
      </c>
      <c r="N19">
        <f t="shared" si="885"/>
        <v>3.4431631797530002e-03</v>
      </c>
    </row>
    <row r="20">
      <c r="A20">
        <f t="shared" si="883"/>
        <v>14</v>
      </c>
      <c r="B20">
        <v>-0.35036242471588258</v>
      </c>
      <c r="C20">
        <f t="shared" si="884"/>
        <v>10.084063249573999</v>
      </c>
      <c r="L20" s="17">
        <v>15</v>
      </c>
      <c r="M20" s="14" t="e">
        <v>#NAME?</v>
      </c>
      <c r="N20" s="14">
        <f t="shared" si="885"/>
        <v>2.4102142258269998e-03</v>
      </c>
    </row>
    <row r="21">
      <c r="A21">
        <f t="shared" si="883"/>
        <v>15</v>
      </c>
      <c r="B21">
        <v>0.21713729591053149</v>
      </c>
      <c r="C21">
        <f t="shared" si="884"/>
        <v>10.3460540555555</v>
      </c>
    </row>
    <row r="22">
      <c r="A22">
        <f t="shared" si="883"/>
        <v>16</v>
      </c>
      <c r="B22">
        <v>-0.50660744040413153</v>
      </c>
      <c r="C22">
        <f t="shared" si="884"/>
        <v>9.6922029393026694</v>
      </c>
    </row>
    <row r="23">
      <c r="A23">
        <f t="shared" si="883"/>
        <v>17</v>
      </c>
      <c r="B23">
        <v>1.3197112250332259</v>
      </c>
      <c r="C23">
        <f t="shared" si="884"/>
        <v>11.205574770625899</v>
      </c>
    </row>
    <row r="24">
      <c r="A24">
        <f t="shared" si="883"/>
        <v>18</v>
      </c>
      <c r="B24">
        <v>2.0721563220833827</v>
      </c>
      <c r="C24">
        <f t="shared" si="884"/>
        <v>12.6521164165149</v>
      </c>
    </row>
    <row r="25">
      <c r="A25">
        <f t="shared" si="883"/>
        <v>19</v>
      </c>
      <c r="B25">
        <v>1.9642789414916848</v>
      </c>
      <c r="C25">
        <f t="shared" si="884"/>
        <v>13.4063291686354</v>
      </c>
    </row>
    <row r="26">
      <c r="A26">
        <f t="shared" si="883"/>
        <v>20</v>
      </c>
      <c r="B26">
        <v>0.23964330043753548</v>
      </c>
      <c r="C26">
        <f t="shared" si="884"/>
        <v>12.231217930184</v>
      </c>
    </row>
    <row r="27">
      <c r="A27">
        <f t="shared" si="883"/>
        <v>21</v>
      </c>
      <c r="B27">
        <v>0.60305056491796249</v>
      </c>
      <c r="C27">
        <f t="shared" si="884"/>
        <v>12.1169744559593</v>
      </c>
    </row>
    <row r="28">
      <c r="A28">
        <f t="shared" si="883"/>
        <v>22</v>
      </c>
      <c r="B28">
        <v>-0.90138311182696318</v>
      </c>
      <c r="C28">
        <f t="shared" si="884"/>
        <v>10.459888894360899</v>
      </c>
    </row>
    <row r="29">
      <c r="A29">
        <f t="shared" si="883"/>
        <v>23</v>
      </c>
      <c r="B29">
        <v>-1.0557411773368033</v>
      </c>
      <c r="C29">
        <f t="shared" si="884"/>
        <v>9.4464576710811894</v>
      </c>
    </row>
    <row r="30">
      <c r="A30">
        <f t="shared" si="883"/>
        <v>24</v>
      </c>
      <c r="B30">
        <v>1.3573618295701022</v>
      </c>
      <c r="C30">
        <f t="shared" si="884"/>
        <v>11.1810304347943</v>
      </c>
    </row>
    <row r="31">
      <c r="A31">
        <f t="shared" si="883"/>
        <v>25</v>
      </c>
      <c r="B31">
        <v>-2.969888722096329</v>
      </c>
      <c r="C31">
        <f t="shared" si="884"/>
        <v>7.5853602163456504</v>
      </c>
    </row>
    <row r="32">
      <c r="A32">
        <f t="shared" si="883"/>
        <v>26</v>
      </c>
      <c r="B32">
        <v>2.0748019655504284</v>
      </c>
      <c r="C32">
        <f t="shared" si="884"/>
        <v>10.9785318614117</v>
      </c>
    </row>
    <row r="33">
      <c r="A33">
        <f t="shared" si="883"/>
        <v>27</v>
      </c>
      <c r="B33">
        <v>0.28021329874765349</v>
      </c>
      <c r="C33">
        <f t="shared" si="884"/>
        <v>10.5502252086258</v>
      </c>
    </row>
    <row r="34">
      <c r="A34">
        <f t="shared" si="883"/>
        <v>28</v>
      </c>
      <c r="B34">
        <v>0.89834644475651204</v>
      </c>
      <c r="C34">
        <f t="shared" si="884"/>
        <v>11.2274614310451</v>
      </c>
    </row>
    <row r="35">
      <c r="A35">
        <f t="shared" si="883"/>
        <v>29</v>
      </c>
      <c r="B35">
        <v>-1.603382387248506</v>
      </c>
      <c r="C35">
        <f t="shared" si="884"/>
        <v>9.0761713255317904</v>
      </c>
    </row>
    <row r="36">
      <c r="A36">
        <f t="shared" si="883"/>
        <v>30</v>
      </c>
      <c r="B36">
        <v>0.23549924558665486</v>
      </c>
      <c r="C36">
        <f t="shared" si="884"/>
        <v>9.9094956509086103</v>
      </c>
    </row>
    <row r="37">
      <c r="A37">
        <f t="shared" si="883"/>
        <v>31</v>
      </c>
      <c r="B37">
        <v>1.7940884644624944</v>
      </c>
      <c r="C37">
        <f t="shared" si="884"/>
        <v>11.683635570981201</v>
      </c>
    </row>
    <row r="38">
      <c r="A38">
        <f t="shared" si="883"/>
        <v>32</v>
      </c>
      <c r="B38">
        <v>-1.4306090977486423</v>
      </c>
      <c r="C38">
        <f t="shared" si="884"/>
        <v>9.3891181090456595</v>
      </c>
    </row>
    <row r="39">
      <c r="A39">
        <f t="shared" si="883"/>
        <v>33</v>
      </c>
      <c r="B39">
        <v>1.4224628570818738</v>
      </c>
      <c r="C39">
        <f t="shared" si="884"/>
        <v>11.280967352963501</v>
      </c>
    </row>
    <row r="40">
      <c r="A40">
        <f t="shared" si="883"/>
        <v>34</v>
      </c>
      <c r="B40">
        <v>-1.5344845213207501</v>
      </c>
      <c r="C40">
        <f t="shared" si="884"/>
        <v>9.0777000543373791</v>
      </c>
    </row>
    <row r="41">
      <c r="A41">
        <f t="shared" si="883"/>
        <v>35</v>
      </c>
      <c r="B41">
        <v>-0.23943486259011687</v>
      </c>
      <c r="C41">
        <f t="shared" si="884"/>
        <v>9.4218520797102006</v>
      </c>
    </row>
    <row r="42">
      <c r="A42">
        <f t="shared" si="883"/>
        <v>36</v>
      </c>
      <c r="B42">
        <v>1.1254873384110666</v>
      </c>
      <c r="C42">
        <f t="shared" si="884"/>
        <v>10.768670766726199</v>
      </c>
    </row>
    <row r="43">
      <c r="A43">
        <f t="shared" si="883"/>
        <v>37</v>
      </c>
      <c r="B43">
        <v>-0.26828564280553119</v>
      </c>
      <c r="C43">
        <f t="shared" si="884"/>
        <v>10.044686426220601</v>
      </c>
    </row>
    <row r="44">
      <c r="A44">
        <f t="shared" si="883"/>
        <v>38</v>
      </c>
      <c r="B44">
        <v>-0.5822900860434399</v>
      </c>
      <c r="C44">
        <f t="shared" si="884"/>
        <v>9.5026475408720703</v>
      </c>
    </row>
    <row r="45">
      <c r="A45">
        <f t="shared" si="883"/>
        <v>39</v>
      </c>
      <c r="B45">
        <v>2.2483238493907365</v>
      </c>
      <c r="C45">
        <f t="shared" si="884"/>
        <v>12.0166351452099</v>
      </c>
    </row>
    <row r="46">
      <c r="A46">
        <f t="shared" si="883"/>
        <v>40</v>
      </c>
      <c r="B46">
        <v>-1.3543974073052196</v>
      </c>
      <c r="C46">
        <f t="shared" si="884"/>
        <v>9.6075824244635495</v>
      </c>
    </row>
    <row r="47">
      <c r="A47">
        <f t="shared" si="883"/>
        <v>41</v>
      </c>
      <c r="B47">
        <v>0.48261152802448642</v>
      </c>
      <c r="C47">
        <f t="shared" si="884"/>
        <v>10.47879870661</v>
      </c>
    </row>
    <row r="48">
      <c r="A48">
        <f t="shared" si="883"/>
        <v>42</v>
      </c>
      <c r="B48">
        <v>-0.10749079290397742</v>
      </c>
      <c r="C48">
        <f t="shared" si="884"/>
        <v>10.1311459961181</v>
      </c>
    </row>
    <row r="49">
      <c r="A49">
        <f t="shared" si="883"/>
        <v>43</v>
      </c>
      <c r="B49">
        <v>-0.80304736276954691</v>
      </c>
      <c r="C49">
        <f t="shared" si="884"/>
        <v>9.3102529930939504</v>
      </c>
    </row>
    <row r="50">
      <c r="A50">
        <f t="shared" si="883"/>
        <v>44</v>
      </c>
      <c r="B50">
        <v>0.2754508892602448</v>
      </c>
      <c r="C50">
        <f t="shared" si="884"/>
        <v>9.9532374569799291</v>
      </c>
    </row>
    <row r="51">
      <c r="A51">
        <f t="shared" si="883"/>
        <v>45</v>
      </c>
      <c r="B51">
        <v>1.990693199567108e-02</v>
      </c>
      <c r="C51">
        <f t="shared" si="884"/>
        <v>9.9320829740295693</v>
      </c>
    </row>
    <row r="52">
      <c r="A52">
        <f t="shared" si="883"/>
        <v>46</v>
      </c>
      <c r="B52">
        <v>1.6866252840670588</v>
      </c>
      <c r="C52">
        <f t="shared" si="884"/>
        <v>11.635101979488701</v>
      </c>
    </row>
    <row r="53">
      <c r="A53">
        <f t="shared" si="883"/>
        <v>47</v>
      </c>
      <c r="B53">
        <v>-0.37900350643042596</v>
      </c>
      <c r="C53">
        <f t="shared" si="884"/>
        <v>10.4282428223983</v>
      </c>
    </row>
    <row r="54">
      <c r="A54">
        <f t="shared" si="883"/>
        <v>48</v>
      </c>
      <c r="B54">
        <v>-0.68133999121505795</v>
      </c>
      <c r="C54">
        <f t="shared" si="884"/>
        <v>9.6942306857498295</v>
      </c>
    </row>
    <row r="55">
      <c r="A55">
        <f t="shared" si="883"/>
        <v>49</v>
      </c>
      <c r="B55">
        <v>0.24680727410891504</v>
      </c>
      <c r="C55">
        <f t="shared" si="884"/>
        <v>10.169036752376799</v>
      </c>
    </row>
    <row r="56">
      <c r="A56">
        <f t="shared" si="883"/>
        <v>50</v>
      </c>
      <c r="B56">
        <v>0.41769144074806713</v>
      </c>
      <c r="C56">
        <f t="shared" si="884"/>
        <v>10.4866557125901</v>
      </c>
    </row>
    <row r="57">
      <c r="A57">
        <f t="shared" si="883"/>
        <v>51</v>
      </c>
      <c r="B57">
        <v>0.39902892938942136</v>
      </c>
      <c r="C57">
        <f t="shared" si="884"/>
        <v>10.656149640052901</v>
      </c>
    </row>
    <row r="58">
      <c r="A58">
        <f t="shared" si="883"/>
        <v>52</v>
      </c>
      <c r="B58">
        <v>-0.25018139554307461</v>
      </c>
      <c r="C58">
        <f t="shared" si="884"/>
        <v>10.129317566616001</v>
      </c>
    </row>
    <row r="59">
      <c r="A59">
        <f t="shared" si="883"/>
        <v>53</v>
      </c>
      <c r="B59">
        <v>-1.1742528233216154</v>
      </c>
      <c r="C59">
        <f t="shared" si="884"/>
        <v>8.9663057524182008</v>
      </c>
    </row>
    <row r="60">
      <c r="A60">
        <f t="shared" si="883"/>
        <v>54</v>
      </c>
      <c r="B60">
        <v>-1.404513152364584</v>
      </c>
      <c r="C60">
        <f t="shared" si="884"/>
        <v>8.1067514389924895</v>
      </c>
    </row>
    <row r="61">
      <c r="A61">
        <f t="shared" si="883"/>
        <v>55</v>
      </c>
      <c r="B61">
        <v>-0.28172987991615123</v>
      </c>
      <c r="C61">
        <f t="shared" si="884"/>
        <v>8.6738987578515108</v>
      </c>
    </row>
    <row r="62">
      <c r="A62">
        <f t="shared" si="883"/>
        <v>56</v>
      </c>
      <c r="B62">
        <v>-0.38821298272001858</v>
      </c>
      <c r="C62">
        <f t="shared" si="884"/>
        <v>8.73986212375927</v>
      </c>
    </row>
    <row r="63">
      <c r="A63">
        <f t="shared" si="883"/>
        <v>57</v>
      </c>
      <c r="B63">
        <v>-0.43156998564742921</v>
      </c>
      <c r="C63">
        <f t="shared" si="884"/>
        <v>8.7639760975280705</v>
      </c>
    </row>
    <row r="64">
      <c r="A64">
        <f t="shared" si="883"/>
        <v>58</v>
      </c>
      <c r="B64">
        <v>1.386535004851783</v>
      </c>
      <c r="C64">
        <f t="shared" si="884"/>
        <v>10.6076322702509</v>
      </c>
    </row>
    <row r="65">
      <c r="A65">
        <f t="shared" si="883"/>
        <v>59</v>
      </c>
      <c r="B65">
        <v>-1.3017512220934879</v>
      </c>
      <c r="C65">
        <f t="shared" si="884"/>
        <v>8.8462843661117496</v>
      </c>
    </row>
    <row r="66">
      <c r="A66">
        <f t="shared" si="883"/>
        <v>60</v>
      </c>
      <c r="B66">
        <v>-1.2553188286181356</v>
      </c>
      <c r="C66">
        <f t="shared" si="884"/>
        <v>8.1974304720787892</v>
      </c>
    </row>
    <row r="67">
      <c r="A67">
        <f t="shared" si="883"/>
        <v>61</v>
      </c>
      <c r="B67">
        <v>0.71120271461460161</v>
      </c>
      <c r="C67">
        <f t="shared" si="884"/>
        <v>9.7004678107933806</v>
      </c>
    </row>
    <row r="68">
      <c r="A68">
        <f t="shared" si="883"/>
        <v>62</v>
      </c>
      <c r="B68">
        <v>-0.14927846160621394</v>
      </c>
      <c r="C68">
        <f t="shared" si="884"/>
        <v>9.4988084630262399</v>
      </c>
    </row>
    <row r="69">
      <c r="A69">
        <f t="shared" si="883"/>
        <v>63</v>
      </c>
      <c r="B69">
        <v>2.1364162498976987e-02</v>
      </c>
      <c r="C69">
        <f t="shared" si="884"/>
        <v>9.7003857789385908</v>
      </c>
    </row>
    <row r="70">
      <c r="A70">
        <f t="shared" si="883"/>
        <v>64</v>
      </c>
      <c r="B70">
        <v>3.3630781181214632e-02</v>
      </c>
      <c r="C70">
        <f t="shared" si="884"/>
        <v>9.8196279939384397</v>
      </c>
    </row>
    <row r="71">
      <c r="A71">
        <f t="shared" si="883"/>
        <v>65</v>
      </c>
      <c r="B71">
        <v>2.4900321457140446</v>
      </c>
      <c r="C71">
        <f t="shared" si="884"/>
        <v>12.3570455852348</v>
      </c>
    </row>
    <row r="72">
      <c r="A72">
        <f t="shared" si="883"/>
        <v>66</v>
      </c>
      <c r="B72">
        <v>-0.22832106642044353</v>
      </c>
      <c r="C72">
        <f t="shared" si="884"/>
        <v>10.923604414101201</v>
      </c>
    </row>
    <row r="73">
      <c r="A73">
        <f t="shared" si="883"/>
        <v>67</v>
      </c>
      <c r="B73">
        <v>-0.99142145654823755</v>
      </c>
      <c r="C73">
        <f t="shared" si="884"/>
        <v>9.7007658466066502</v>
      </c>
    </row>
    <row r="74">
      <c r="A74">
        <f t="shared" si="883"/>
        <v>68</v>
      </c>
      <c r="B74">
        <v>0.28534068077982994</v>
      </c>
      <c r="C74">
        <f t="shared" si="884"/>
        <v>10.2741610647141</v>
      </c>
    </row>
    <row r="75">
      <c r="A75">
        <f t="shared" ref="A75:A100" si="886">A74+1</f>
        <v>69</v>
      </c>
      <c r="B75">
        <v>-0.37876373558789128</v>
      </c>
      <c r="C75">
        <f t="shared" ref="C75:C99" si="887">3+0.7*C74+B75-0.2*B74</f>
        <v>9.7560808735560496</v>
      </c>
    </row>
    <row r="76">
      <c r="A76">
        <f t="shared" si="886"/>
        <v>70</v>
      </c>
      <c r="B76">
        <v>-0.6172775165552018</v>
      </c>
      <c r="C76">
        <f t="shared" si="887"/>
        <v>9.2877318420516204</v>
      </c>
    </row>
    <row r="77">
      <c r="A77">
        <f t="shared" si="886"/>
        <v>71</v>
      </c>
      <c r="B77">
        <v>-0.83006009584136975</v>
      </c>
      <c r="C77">
        <f t="shared" si="887"/>
        <v>8.7948076969057993</v>
      </c>
    </row>
    <row r="78">
      <c r="A78">
        <f t="shared" si="886"/>
        <v>72</v>
      </c>
      <c r="B78">
        <v>0.62978853825533521</v>
      </c>
      <c r="C78">
        <f t="shared" si="887"/>
        <v>9.9521659452576792</v>
      </c>
    </row>
    <row r="79">
      <c r="A79">
        <f t="shared" si="886"/>
        <v>73</v>
      </c>
      <c r="B79">
        <v>-0.694040660745746</v>
      </c>
      <c r="C79">
        <f t="shared" si="887"/>
        <v>9.1465177932835804</v>
      </c>
    </row>
    <row r="80">
      <c r="A80">
        <f t="shared" si="886"/>
        <v>74</v>
      </c>
      <c r="B80">
        <v>-1.129297764638155</v>
      </c>
      <c r="C80">
        <f t="shared" si="887"/>
        <v>8.4120728228095007</v>
      </c>
    </row>
    <row r="81">
      <c r="A81">
        <f t="shared" si="886"/>
        <v>75</v>
      </c>
      <c r="B81">
        <v>0.6095368117304879</v>
      </c>
      <c r="C81">
        <f t="shared" si="887"/>
        <v>9.7238473406247703</v>
      </c>
    </row>
    <row r="82">
      <c r="A82">
        <f t="shared" si="886"/>
        <v>76</v>
      </c>
      <c r="B82">
        <v>-1.2359970227306327</v>
      </c>
      <c r="C82">
        <f t="shared" si="887"/>
        <v>8.4487887533606099</v>
      </c>
    </row>
    <row r="83">
      <c r="A83">
        <f t="shared" si="886"/>
        <v>77</v>
      </c>
      <c r="B83">
        <v>0.14781809608735161</v>
      </c>
      <c r="C83">
        <f t="shared" si="887"/>
        <v>9.3091696279859093</v>
      </c>
    </row>
    <row r="84">
      <c r="A84">
        <f t="shared" si="886"/>
        <v>78</v>
      </c>
      <c r="B84">
        <v>0.14223995185972241</v>
      </c>
      <c r="C84">
        <f t="shared" si="887"/>
        <v>9.6290950722323903</v>
      </c>
    </row>
    <row r="85">
      <c r="A85">
        <f t="shared" si="886"/>
        <v>79</v>
      </c>
      <c r="B85">
        <v>0.78683578193082893</v>
      </c>
      <c r="C85">
        <f t="shared" si="887"/>
        <v>10.4987543421216</v>
      </c>
    </row>
    <row r="86">
      <c r="A86">
        <f t="shared" si="886"/>
        <v>80</v>
      </c>
      <c r="B86">
        <v>-2.0572048484731567</v>
      </c>
      <c r="C86">
        <f t="shared" si="887"/>
        <v>8.1345560346257795</v>
      </c>
    </row>
    <row r="87">
      <c r="A87">
        <f t="shared" si="886"/>
        <v>81</v>
      </c>
      <c r="B87">
        <v>4.9553368430570136e-02</v>
      </c>
      <c r="C87">
        <f t="shared" si="887"/>
        <v>9.1551835623632503</v>
      </c>
    </row>
    <row r="88">
      <c r="A88">
        <f t="shared" si="886"/>
        <v>82</v>
      </c>
      <c r="B88">
        <v>-1.4066323798943019</v>
      </c>
      <c r="C88">
        <f t="shared" si="887"/>
        <v>7.9920854400738701</v>
      </c>
    </row>
    <row r="89">
      <c r="A89">
        <f t="shared" si="886"/>
        <v>83</v>
      </c>
      <c r="B89">
        <v>1.5637407126388041</v>
      </c>
      <c r="C89">
        <f t="shared" si="887"/>
        <v>10.4395269966694</v>
      </c>
    </row>
    <row r="90">
      <c r="A90">
        <f t="shared" si="886"/>
        <v>84</v>
      </c>
      <c r="B90">
        <v>1.1803319732811373</v>
      </c>
      <c r="C90">
        <f t="shared" si="887"/>
        <v>11.175252728421899</v>
      </c>
    </row>
    <row r="91">
      <c r="A91">
        <f t="shared" si="886"/>
        <v>85</v>
      </c>
      <c r="B91">
        <v>-0.6651070261756501</v>
      </c>
      <c r="C91">
        <f t="shared" si="887"/>
        <v>9.9215034890634701</v>
      </c>
    </row>
    <row r="92">
      <c r="A92">
        <f t="shared" si="886"/>
        <v>86</v>
      </c>
      <c r="B92">
        <v>0.57494501634557915</v>
      </c>
      <c r="C92">
        <f t="shared" si="887"/>
        <v>10.6530188639251</v>
      </c>
    </row>
    <row r="93">
      <c r="A93">
        <f t="shared" si="886"/>
        <v>87</v>
      </c>
      <c r="B93">
        <v>-4.1159165518735163e-02</v>
      </c>
      <c r="C93">
        <f t="shared" si="887"/>
        <v>10.3009650359598</v>
      </c>
    </row>
    <row r="94">
      <c r="A94">
        <f t="shared" si="886"/>
        <v>88</v>
      </c>
      <c r="B94">
        <v>-0.89619571623511651</v>
      </c>
      <c r="C94">
        <f t="shared" si="887"/>
        <v>9.3227116420405398</v>
      </c>
    </row>
    <row r="95">
      <c r="A95">
        <f t="shared" si="886"/>
        <v>89</v>
      </c>
      <c r="B95">
        <v>1.503359605306662</v>
      </c>
      <c r="C95">
        <f t="shared" si="887"/>
        <v>11.208496897982</v>
      </c>
    </row>
    <row r="96">
      <c r="A96">
        <f t="shared" si="886"/>
        <v>90</v>
      </c>
      <c r="B96">
        <v>-0.71156365631100771</v>
      </c>
      <c r="C96">
        <f t="shared" si="887"/>
        <v>9.8337122512150703</v>
      </c>
    </row>
    <row r="97">
      <c r="A97">
        <f t="shared" si="886"/>
        <v>91</v>
      </c>
      <c r="B97">
        <v>0.98331759725438272</v>
      </c>
      <c r="C97">
        <f t="shared" si="887"/>
        <v>11.009228904367101</v>
      </c>
    </row>
    <row r="98">
      <c r="A98">
        <f t="shared" si="886"/>
        <v>92</v>
      </c>
      <c r="B98">
        <v>-0.83758504934694744</v>
      </c>
      <c r="C98">
        <f t="shared" si="887"/>
        <v>9.6722116642591693</v>
      </c>
    </row>
    <row r="99">
      <c r="A99">
        <f t="shared" si="886"/>
        <v>93</v>
      </c>
      <c r="B99">
        <v>-1.916010009424536</v>
      </c>
      <c r="C99">
        <f t="shared" si="887"/>
        <v>8.02205516542627</v>
      </c>
    </row>
    <row r="100">
      <c r="A100">
        <f t="shared" si="886"/>
        <v>94</v>
      </c>
      <c r="B100">
        <v>0.10151986902498664</v>
      </c>
      <c r="C100">
        <f>3+0.7*C99+B100-0.2*B99</f>
        <v>9.1001604867082904</v>
      </c>
    </row>
    <row r="101">
      <c r="A101">
        <f t="shared" ref="A101:A111" si="888">A100+1</f>
        <v>95</v>
      </c>
      <c r="B101">
        <v>0.94375520294114756</v>
      </c>
      <c r="C101">
        <f t="shared" ref="C101:C111" si="889">3+0.7*C100+B101-0.2*B100</f>
        <v>10.2935635698319</v>
      </c>
    </row>
    <row r="102">
      <c r="A102">
        <f t="shared" si="888"/>
        <v>96</v>
      </c>
      <c r="B102">
        <v>0.85739443406232341</v>
      </c>
      <c r="C102">
        <f t="shared" si="889"/>
        <v>10.8741378923564</v>
      </c>
    </row>
    <row r="103">
      <c r="A103">
        <f t="shared" si="888"/>
        <v>97</v>
      </c>
      <c r="B103">
        <v>0.60817129254501401</v>
      </c>
      <c r="C103">
        <f t="shared" si="889"/>
        <v>11.048588930382</v>
      </c>
    </row>
    <row r="104">
      <c r="A104">
        <f t="shared" si="888"/>
        <v>98</v>
      </c>
      <c r="B104">
        <v>-0.23527438435259729</v>
      </c>
      <c r="C104">
        <f t="shared" si="889"/>
        <v>10.3771036084058</v>
      </c>
    </row>
    <row r="105">
      <c r="A105">
        <f t="shared" si="888"/>
        <v>99</v>
      </c>
      <c r="B105">
        <v>0.78970600372079691</v>
      </c>
      <c r="C105">
        <f t="shared" si="889"/>
        <v>11.100733406475401</v>
      </c>
    </row>
    <row r="106">
      <c r="A106">
        <f t="shared" si="888"/>
        <v>100</v>
      </c>
      <c r="B106">
        <v>-1.0561154940171853</v>
      </c>
      <c r="C106">
        <f t="shared" si="889"/>
        <v>9.5564566897714496</v>
      </c>
    </row>
    <row r="107">
      <c r="A107">
        <f t="shared" si="888"/>
        <v>101</v>
      </c>
      <c r="B107">
        <v>0.22586923055446756</v>
      </c>
      <c r="C107">
        <f t="shared" si="889"/>
        <v>10.126612012197899</v>
      </c>
    </row>
    <row r="108">
      <c r="A108">
        <f t="shared" si="888"/>
        <v>102</v>
      </c>
      <c r="B108">
        <v>0.57520223729110798</v>
      </c>
      <c r="C108">
        <f t="shared" si="889"/>
        <v>10.6186567997187</v>
      </c>
    </row>
    <row r="109">
      <c r="A109">
        <f t="shared" si="888"/>
        <v>103</v>
      </c>
      <c r="B109">
        <v>1.0513583351687668</v>
      </c>
      <c r="C109">
        <f t="shared" si="889"/>
        <v>11.3693776475137</v>
      </c>
    </row>
    <row r="110">
      <c r="A110">
        <f t="shared" si="888"/>
        <v>104</v>
      </c>
      <c r="B110">
        <v>1.3149534009556495e-02</v>
      </c>
      <c r="C110">
        <f t="shared" si="889"/>
        <v>10.7614422202354</v>
      </c>
    </row>
    <row r="111">
      <c r="A111">
        <f t="shared" si="888"/>
        <v>105</v>
      </c>
      <c r="B111" s="14">
        <v>1.4243854081201066</v>
      </c>
      <c r="C111" s="14">
        <f t="shared" si="889"/>
        <v>11.954765055483</v>
      </c>
    </row>
    <row r="113">
      <c r="B113" s="20" t="s">
        <v>576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5" max="5" style="15" width="6.7232139999999996"/>
    <col customWidth="1" min="8" max="8" width="5"/>
    <col customWidth="1" min="10" max="11" width="9.7232140000000005"/>
  </cols>
  <sheetData>
    <row r="1">
      <c r="A1" s="1" t="s">
        <v>574</v>
      </c>
    </row>
    <row r="2" s="55" customFormat="1">
      <c r="E2" s="57"/>
    </row>
    <row r="3" s="55" customFormat="1" ht="15" customHeight="1">
      <c r="A3" s="55" t="s">
        <v>575</v>
      </c>
      <c r="E3" s="57"/>
    </row>
    <row r="4" s="55" customFormat="1">
      <c r="E4" s="57"/>
    </row>
    <row r="5">
      <c r="B5" s="4" t="s">
        <v>342</v>
      </c>
      <c r="C5" s="4" t="s">
        <v>343</v>
      </c>
      <c r="E5" s="54" t="s">
        <v>578</v>
      </c>
      <c r="I5" t="s">
        <v>475</v>
      </c>
      <c r="M5" t="s">
        <v>535</v>
      </c>
    </row>
    <row r="6">
      <c r="B6" s="15"/>
      <c r="C6" s="15"/>
    </row>
    <row r="7">
      <c r="A7">
        <v>1</v>
      </c>
      <c r="B7">
        <v>0.11767564756553414</v>
      </c>
      <c r="C7">
        <f t="shared" ref="C7:C9" si="890">0.7*C6+B7-0.2*B6</f>
        <v>0.11767564756553402</v>
      </c>
      <c r="E7" s="24" t="s">
        <v>355</v>
      </c>
      <c r="F7" s="24" t="s">
        <v>173</v>
      </c>
      <c r="G7" s="24" t="s">
        <v>480</v>
      </c>
      <c r="I7" s="24" t="s">
        <v>481</v>
      </c>
      <c r="J7" s="24" t="s">
        <v>482</v>
      </c>
      <c r="K7" s="24" t="s">
        <v>483</v>
      </c>
      <c r="M7" t="s">
        <v>542</v>
      </c>
      <c r="P7" t="s">
        <v>385</v>
      </c>
      <c r="Q7">
        <v>5.0000000000000003e-02</v>
      </c>
    </row>
    <row r="8">
      <c r="A8">
        <f t="shared" ref="A8:A10" si="891">A7+1</f>
        <v>2</v>
      </c>
      <c r="B8">
        <v>0.64941326201616079</v>
      </c>
      <c r="C8">
        <f t="shared" si="890"/>
        <v>0.70825108579892804</v>
      </c>
      <c r="E8" s="15">
        <v>1</v>
      </c>
      <c r="F8">
        <f t="shared" ref="F8:F10" si="892">C7</f>
        <v>0.11767564756553402</v>
      </c>
      <c r="G8">
        <v>0</v>
      </c>
      <c r="I8" s="4">
        <v>1</v>
      </c>
      <c r="J8" s="26">
        <v>0.68675413947681208</v>
      </c>
      <c r="K8" s="26">
        <v>-0.40305038477810939</v>
      </c>
      <c r="M8" s="24" t="s">
        <v>546</v>
      </c>
      <c r="N8" s="24" t="s">
        <v>547</v>
      </c>
      <c r="O8" s="24" t="s">
        <v>548</v>
      </c>
      <c r="P8" s="24" t="s">
        <v>549</v>
      </c>
      <c r="Q8" s="24" t="s">
        <v>206</v>
      </c>
      <c r="R8" s="24" t="s">
        <v>294</v>
      </c>
      <c r="S8" s="24" t="s">
        <v>550</v>
      </c>
      <c r="T8" s="24" t="s">
        <v>551</v>
      </c>
    </row>
    <row r="9">
      <c r="A9">
        <f t="shared" si="891"/>
        <v>3</v>
      </c>
      <c r="B9">
        <v>-2.0291245092742414</v>
      </c>
      <c r="C9">
        <f t="shared" si="890"/>
        <v>-1.6632314016182199</v>
      </c>
      <c r="E9" s="15">
        <f t="shared" ref="E9:E10" si="893">E8+1</f>
        <v>2</v>
      </c>
      <c r="F9">
        <f t="shared" si="892"/>
        <v>0.70825108579892804</v>
      </c>
      <c r="G9">
        <f>F9-SUMPRODUCT(F8,J$8)-SUMPRODUCT(G8,K$8)</f>
        <v>0.62743684771768304</v>
      </c>
      <c r="M9">
        <f>COUNT(C7:C111)</f>
        <v>105</v>
      </c>
      <c r="N9">
        <f>AVERAGE(C7:C111)</f>
        <v>7.7419029845170004e-02</v>
      </c>
      <c r="O9">
        <f>STDEV(C7:C111)</f>
        <v>1.0979543615699101</v>
      </c>
      <c r="P9">
        <f>O9/SQRT(M9)</f>
        <v>0.10714937415502399</v>
      </c>
      <c r="Q9">
        <f>(N9-Q11)/P9</f>
        <v>0.72253366345528003</v>
      </c>
      <c r="R9">
        <f>M9-1</f>
        <v>104</v>
      </c>
      <c r="S9">
        <f>ABS(N9-Q11)/O9</f>
        <v>7.0512065487377998e-02</v>
      </c>
      <c r="T9">
        <f>SQRT(Q9^2/(Q9^2+R9))</f>
        <v>7.0673095896855997e-02</v>
      </c>
    </row>
    <row r="10">
      <c r="A10">
        <f t="shared" si="891"/>
        <v>4</v>
      </c>
      <c r="B10">
        <v>-0.72108843846184933</v>
      </c>
      <c r="C10">
        <f>0.7*C9+B10-0.2*B9</f>
        <v>-1.4795255177397499</v>
      </c>
      <c r="E10" s="15">
        <f t="shared" si="893"/>
        <v>3</v>
      </c>
      <c r="F10">
        <f t="shared" si="892"/>
        <v>-1.6632314016182199</v>
      </c>
      <c r="G10">
        <f>F10-SUMPRODUCT(F9,J$8)-SUMPRODUCT(G9,K$8)</f>
        <v>-1.8967371036830001</v>
      </c>
      <c r="M10" s="42"/>
      <c r="N10" s="42"/>
      <c r="O10" s="42"/>
      <c r="P10" s="42"/>
      <c r="Q10" s="42"/>
      <c r="R10" s="42"/>
      <c r="S10" s="42"/>
      <c r="T10" s="42"/>
    </row>
    <row r="11">
      <c r="A11">
        <f t="shared" ref="A11:A74" si="894">A10+1</f>
        <v>5</v>
      </c>
      <c r="B11">
        <v>0.70747648649116812</v>
      </c>
      <c r="C11">
        <f t="shared" ref="C11:C74" si="895">0.7*C10+B11-0.2*B10</f>
        <v>-0.183973688234292</v>
      </c>
      <c r="E11" s="15">
        <f t="shared" ref="E11:E74" si="896">E10+1</f>
        <v>4</v>
      </c>
      <c r="F11">
        <f t="shared" ref="F11:F74" si="897">C10</f>
        <v>-1.4795255177397499</v>
      </c>
      <c r="G11">
        <f t="shared" ref="G11:G74" si="898">F11-SUMPRODUCT(F10,J$8)-SUMPRODUCT(G10,K$8)</f>
        <v>-1.1017750872329699</v>
      </c>
      <c r="J11" t="s">
        <v>464</v>
      </c>
      <c r="K11" s="18">
        <f>SUMSQ(G9:G112)</f>
        <v>110.198836700736</v>
      </c>
      <c r="M11" t="s">
        <v>553</v>
      </c>
      <c r="P11" t="s">
        <v>554</v>
      </c>
      <c r="Q11">
        <v>0</v>
      </c>
    </row>
    <row r="12">
      <c r="A12">
        <f t="shared" si="894"/>
        <v>6</v>
      </c>
      <c r="B12">
        <v>0.79163430570821358</v>
      </c>
      <c r="C12">
        <f t="shared" si="895"/>
        <v>0.52135742664597595</v>
      </c>
      <c r="E12" s="15">
        <f t="shared" si="896"/>
        <v>5</v>
      </c>
      <c r="F12">
        <f t="shared" si="897"/>
        <v>-0.183973688234292</v>
      </c>
      <c r="G12">
        <f t="shared" si="898"/>
        <v>0.38802571268687402</v>
      </c>
      <c r="M12" s="24" t="s">
        <v>557</v>
      </c>
      <c r="N12" s="24" t="s">
        <v>189</v>
      </c>
      <c r="O12" s="24" t="s">
        <v>558</v>
      </c>
      <c r="P12" s="24" t="s">
        <v>215</v>
      </c>
      <c r="Q12" s="24" t="s">
        <v>216</v>
      </c>
      <c r="R12" s="24" t="s">
        <v>204</v>
      </c>
    </row>
    <row r="13">
      <c r="A13">
        <f t="shared" si="894"/>
        <v>7</v>
      </c>
      <c r="B13">
        <v>-0.23542965362338003</v>
      </c>
      <c r="C13">
        <f t="shared" si="895"/>
        <v>-2.8806316112840003e-02</v>
      </c>
      <c r="E13" s="15">
        <f t="shared" si="896"/>
        <v>6</v>
      </c>
      <c r="F13">
        <f t="shared" si="897"/>
        <v>0.52135742664597595</v>
      </c>
      <c r="G13">
        <f t="shared" si="898"/>
        <v>0.80409603139793795</v>
      </c>
      <c r="M13" t="s">
        <v>559</v>
      </c>
      <c r="N13">
        <f>TDIST(ABS(Q9),R9,1)</f>
        <v>0.23579404325230099</v>
      </c>
      <c r="O13">
        <f>TINV(Q7*2,R9)</f>
        <v>1.6596372425556201</v>
      </c>
      <c r="R13" s="15" t="str">
        <f>IF(N13&lt;Q7,"yes","no")</f>
        <v>no</v>
      </c>
    </row>
    <row r="14">
      <c r="A14">
        <f t="shared" si="894"/>
        <v>8</v>
      </c>
      <c r="B14">
        <v>-1.3489481281427076</v>
      </c>
      <c r="C14">
        <f t="shared" si="895"/>
        <v>-1.32202661869702</v>
      </c>
      <c r="E14" s="15">
        <f t="shared" si="896"/>
        <v>7</v>
      </c>
      <c r="F14">
        <f t="shared" si="897"/>
        <v>-2.8806316112840003e-02</v>
      </c>
      <c r="G14">
        <f t="shared" si="898"/>
        <v>-6.2759472155451995e-02</v>
      </c>
      <c r="M14" t="s">
        <v>560</v>
      </c>
      <c r="N14">
        <f>TDIST(ABS(Q9),R9,2)</f>
        <v>0.47158808650460299</v>
      </c>
      <c r="O14">
        <f>TINV(Q7,R9)</f>
        <v>1.9830374419689201</v>
      </c>
      <c r="P14">
        <f>N9-O14*P9</f>
        <v>-0.13506219098778</v>
      </c>
      <c r="Q14">
        <f>N9+O14*P9</f>
        <v>0.28990025067811998</v>
      </c>
      <c r="R14" s="15" t="str">
        <f>IF(N14&lt;Q7,"yes","no")</f>
        <v>no</v>
      </c>
    </row>
    <row r="15">
      <c r="A15">
        <f t="shared" si="894"/>
        <v>9</v>
      </c>
      <c r="B15">
        <v>1.2055841066323034</v>
      </c>
      <c r="C15">
        <f t="shared" si="895"/>
        <v>0.54995509917292795</v>
      </c>
      <c r="E15" s="15">
        <f t="shared" si="896"/>
        <v>8</v>
      </c>
      <c r="F15">
        <f t="shared" si="897"/>
        <v>-1.32202661869702</v>
      </c>
      <c r="G15">
        <f t="shared" si="898"/>
        <v>-1.32753899126418</v>
      </c>
      <c r="M15" s="42"/>
      <c r="N15" s="42"/>
      <c r="O15" s="42"/>
      <c r="P15" s="42"/>
      <c r="Q15" s="42"/>
      <c r="R15" s="42"/>
    </row>
    <row r="16">
      <c r="A16">
        <f t="shared" si="894"/>
        <v>10</v>
      </c>
      <c r="B16">
        <v>1.1838198499095891</v>
      </c>
      <c r="C16">
        <f t="shared" si="895"/>
        <v>1.32767159800418</v>
      </c>
      <c r="E16" s="15">
        <f t="shared" si="896"/>
        <v>9</v>
      </c>
      <c r="F16">
        <f t="shared" si="897"/>
        <v>0.54995509917292795</v>
      </c>
      <c r="G16">
        <f t="shared" si="898"/>
        <v>0.92279725082466901</v>
      </c>
    </row>
    <row r="17">
      <c r="A17">
        <f t="shared" si="894"/>
        <v>11</v>
      </c>
      <c r="B17">
        <v>-0.37229539413802176</v>
      </c>
      <c r="C17">
        <f t="shared" si="895"/>
        <v>0.32031075448298602</v>
      </c>
      <c r="E17" s="15">
        <f t="shared" si="896"/>
        <v>10</v>
      </c>
      <c r="F17">
        <f t="shared" si="897"/>
        <v>1.32767159800418</v>
      </c>
      <c r="G17">
        <f t="shared" si="898"/>
        <v>1.3219214441378599</v>
      </c>
    </row>
    <row r="18">
      <c r="A18">
        <f t="shared" si="894"/>
        <v>12</v>
      </c>
      <c r="B18">
        <v>1.3338509496353779e-02</v>
      </c>
      <c r="C18">
        <f t="shared" si="895"/>
        <v>0.31201511646204799</v>
      </c>
      <c r="E18" s="15">
        <f t="shared" si="896"/>
        <v>11</v>
      </c>
      <c r="F18">
        <f t="shared" si="897"/>
        <v>0.32031075448298602</v>
      </c>
      <c r="G18">
        <f t="shared" si="898"/>
        <v>-5.867226460597999e-02</v>
      </c>
    </row>
    <row r="19">
      <c r="A19">
        <f t="shared" si="894"/>
        <v>13</v>
      </c>
      <c r="B19">
        <v>0.70245593167564913</v>
      </c>
      <c r="C19">
        <f t="shared" si="895"/>
        <v>0.91819881129981196</v>
      </c>
      <c r="E19" s="15">
        <f t="shared" si="896"/>
        <v>12</v>
      </c>
      <c r="F19">
        <f t="shared" si="897"/>
        <v>0.31201511646204799</v>
      </c>
      <c r="G19">
        <f t="shared" si="898"/>
        <v>6.8392501076673995e-02</v>
      </c>
    </row>
    <row r="20">
      <c r="A20">
        <f t="shared" si="894"/>
        <v>14</v>
      </c>
      <c r="B20">
        <v>-0.35036242471588258</v>
      </c>
      <c r="C20">
        <f t="shared" si="895"/>
        <v>0.15188555685885499</v>
      </c>
      <c r="E20" s="15">
        <f t="shared" si="896"/>
        <v>13</v>
      </c>
      <c r="F20">
        <f t="shared" si="897"/>
        <v>0.91819881129981196</v>
      </c>
      <c r="G20">
        <f t="shared" si="898"/>
        <v>0.73148676236505195</v>
      </c>
    </row>
    <row r="21">
      <c r="A21">
        <f t="shared" si="894"/>
        <v>15</v>
      </c>
      <c r="B21">
        <v>0.21713729591053149</v>
      </c>
      <c r="C21">
        <f t="shared" si="895"/>
        <v>0.39352967065490801</v>
      </c>
      <c r="E21" s="15">
        <f t="shared" si="896"/>
        <v>14</v>
      </c>
      <c r="F21">
        <f t="shared" si="897"/>
        <v>0.15188555685885499</v>
      </c>
      <c r="G21">
        <f t="shared" si="898"/>
        <v>-0.18386525663265099</v>
      </c>
    </row>
    <row r="22">
      <c r="A22">
        <f t="shared" si="894"/>
        <v>16</v>
      </c>
      <c r="B22">
        <v>-0.50660744040413153</v>
      </c>
      <c r="C22">
        <f t="shared" si="895"/>
        <v>-0.27456413012780201</v>
      </c>
      <c r="E22" s="15">
        <f t="shared" si="896"/>
        <v>15</v>
      </c>
      <c r="F22">
        <f t="shared" si="897"/>
        <v>0.39352967065490801</v>
      </c>
      <c r="G22">
        <f t="shared" si="898"/>
        <v>0.21511467332223297</v>
      </c>
    </row>
    <row r="23">
      <c r="A23">
        <f t="shared" si="894"/>
        <v>17</v>
      </c>
      <c r="B23">
        <v>1.3197112250332259</v>
      </c>
      <c r="C23">
        <f t="shared" si="895"/>
        <v>1.2288378220245999</v>
      </c>
      <c r="E23" s="15">
        <f t="shared" si="896"/>
        <v>16</v>
      </c>
      <c r="F23">
        <f t="shared" si="897"/>
        <v>-0.27456413012780201</v>
      </c>
      <c r="G23">
        <f t="shared" si="898"/>
        <v>-0.45812020860306396</v>
      </c>
    </row>
    <row r="24">
      <c r="A24">
        <f t="shared" si="894"/>
        <v>18</v>
      </c>
      <c r="B24">
        <v>2.0721563220833827</v>
      </c>
      <c r="C24">
        <f t="shared" si="895"/>
        <v>2.6684005524939498</v>
      </c>
      <c r="E24" s="15">
        <f t="shared" si="896"/>
        <v>17</v>
      </c>
      <c r="F24">
        <f t="shared" si="897"/>
        <v>1.2288378220245999</v>
      </c>
      <c r="G24">
        <f t="shared" si="898"/>
        <v>1.2327503485896301</v>
      </c>
    </row>
    <row r="25">
      <c r="A25">
        <f t="shared" si="894"/>
        <v>19</v>
      </c>
      <c r="B25">
        <v>1.9642789414916848</v>
      </c>
      <c r="C25">
        <f t="shared" si="895"/>
        <v>3.4177280638207601</v>
      </c>
      <c r="E25" s="15">
        <f t="shared" si="896"/>
        <v>18</v>
      </c>
      <c r="F25">
        <f t="shared" si="897"/>
        <v>2.6684005524939498</v>
      </c>
      <c r="G25">
        <f t="shared" si="898"/>
        <v>2.3213515938072899</v>
      </c>
    </row>
    <row r="26">
      <c r="A26">
        <f t="shared" si="894"/>
        <v>20</v>
      </c>
      <c r="B26">
        <v>0.23964330043753548</v>
      </c>
      <c r="C26">
        <f t="shared" si="895"/>
        <v>2.2391971568137299</v>
      </c>
      <c r="E26" s="15">
        <f t="shared" si="896"/>
        <v>19</v>
      </c>
      <c r="F26">
        <f t="shared" si="897"/>
        <v>3.4177280638207601</v>
      </c>
      <c r="G26">
        <f t="shared" si="898"/>
        <v>2.5208145917026399</v>
      </c>
    </row>
    <row r="27">
      <c r="A27">
        <f t="shared" si="894"/>
        <v>21</v>
      </c>
      <c r="B27">
        <v>0.60305056491796249</v>
      </c>
      <c r="C27">
        <f t="shared" si="895"/>
        <v>2.12255991460006</v>
      </c>
      <c r="E27" s="15">
        <f t="shared" si="896"/>
        <v>20</v>
      </c>
      <c r="F27">
        <f t="shared" si="897"/>
        <v>2.2391971568137299</v>
      </c>
      <c r="G27">
        <f t="shared" si="898"/>
        <v>0.90807355251876998</v>
      </c>
    </row>
    <row r="28">
      <c r="A28">
        <f t="shared" si="894"/>
        <v>22</v>
      </c>
      <c r="B28">
        <v>-0.90138311182696318</v>
      </c>
      <c r="C28">
        <f t="shared" si="895"/>
        <v>0.46379871540948397</v>
      </c>
      <c r="E28" s="15">
        <f t="shared" si="896"/>
        <v>21</v>
      </c>
      <c r="F28">
        <f t="shared" si="897"/>
        <v>2.12255991460006</v>
      </c>
      <c r="G28">
        <f t="shared" si="898"/>
        <v>0.95078139280303497</v>
      </c>
    </row>
    <row r="29">
      <c r="A29">
        <f t="shared" si="894"/>
        <v>23</v>
      </c>
      <c r="B29">
        <v>-1.0557411773368033</v>
      </c>
      <c r="C29">
        <f t="shared" si="895"/>
        <v>-0.55080545418476801</v>
      </c>
      <c r="E29" s="15">
        <f t="shared" si="896"/>
        <v>22</v>
      </c>
      <c r="F29">
        <f t="shared" si="897"/>
        <v>0.46379871540948397</v>
      </c>
      <c r="G29">
        <f t="shared" si="898"/>
        <v>-0.61066528602052605</v>
      </c>
    </row>
    <row r="30">
      <c r="A30">
        <f t="shared" si="894"/>
        <v>24</v>
      </c>
      <c r="B30">
        <v>1.3573618295701022</v>
      </c>
      <c r="C30">
        <f t="shared" si="895"/>
        <v>1.18294624710812</v>
      </c>
      <c r="E30" s="15">
        <f t="shared" si="896"/>
        <v>23</v>
      </c>
      <c r="F30">
        <f t="shared" si="897"/>
        <v>-0.55080545418476801</v>
      </c>
      <c r="G30">
        <f t="shared" si="898"/>
        <v>-1.11545002037747</v>
      </c>
    </row>
    <row r="31">
      <c r="A31">
        <f t="shared" si="894"/>
        <v>25</v>
      </c>
      <c r="B31">
        <v>-2.969888722096329</v>
      </c>
      <c r="C31">
        <f t="shared" si="895"/>
        <v>-2.4132987150346699</v>
      </c>
      <c r="E31" s="15">
        <f t="shared" si="896"/>
        <v>24</v>
      </c>
      <c r="F31">
        <f t="shared" si="897"/>
        <v>1.18294624710812</v>
      </c>
      <c r="G31">
        <f t="shared" si="898"/>
        <v>1.1116316129020301</v>
      </c>
    </row>
    <row r="32">
      <c r="A32">
        <f t="shared" si="894"/>
        <v>26</v>
      </c>
      <c r="B32">
        <v>2.0748019655504284</v>
      </c>
      <c r="C32">
        <f t="shared" si="895"/>
        <v>0.97947060944542597</v>
      </c>
      <c r="E32" s="15">
        <f t="shared" si="896"/>
        <v>25</v>
      </c>
      <c r="F32">
        <f t="shared" si="897"/>
        <v>-2.4132987150346699</v>
      </c>
      <c r="G32">
        <f t="shared" si="898"/>
        <v>-2.7776483977030599</v>
      </c>
    </row>
    <row r="33">
      <c r="A33">
        <f t="shared" si="894"/>
        <v>27</v>
      </c>
      <c r="B33">
        <v>0.28021329874765349</v>
      </c>
      <c r="C33">
        <f t="shared" si="895"/>
        <v>0.550882332249366</v>
      </c>
      <c r="E33" s="15">
        <f t="shared" si="896"/>
        <v>26</v>
      </c>
      <c r="F33">
        <f t="shared" si="897"/>
        <v>0.97947060944542597</v>
      </c>
      <c r="G33">
        <f t="shared" si="898"/>
        <v>1.51728123631704</v>
      </c>
    </row>
    <row r="34">
      <c r="A34">
        <f t="shared" si="894"/>
        <v>28</v>
      </c>
      <c r="B34">
        <v>0.89834644475651204</v>
      </c>
      <c r="C34">
        <f t="shared" si="895"/>
        <v>1.2279214175815401</v>
      </c>
      <c r="E34" s="15">
        <f t="shared" si="896"/>
        <v>27</v>
      </c>
      <c r="F34">
        <f t="shared" si="897"/>
        <v>0.550882332249366</v>
      </c>
      <c r="G34">
        <f t="shared" si="898"/>
        <v>0.48976762283103292</v>
      </c>
    </row>
    <row r="35">
      <c r="A35">
        <f t="shared" si="894"/>
        <v>29</v>
      </c>
      <c r="B35">
        <v>-1.603382387248506</v>
      </c>
      <c r="C35">
        <f t="shared" si="895"/>
        <v>-0.92350668389273394</v>
      </c>
      <c r="E35" s="15">
        <f t="shared" si="896"/>
        <v>28</v>
      </c>
      <c r="F35">
        <f t="shared" si="897"/>
        <v>1.2279214175815401</v>
      </c>
      <c r="G35">
        <f t="shared" si="898"/>
        <v>1.0470017243785601</v>
      </c>
    </row>
    <row r="36">
      <c r="A36">
        <f t="shared" si="894"/>
        <v>30</v>
      </c>
      <c r="B36">
        <v>0.23549924558665486</v>
      </c>
      <c r="C36">
        <f t="shared" si="895"/>
        <v>-9.0278955688556997e-02</v>
      </c>
      <c r="E36" s="15">
        <f t="shared" si="896"/>
        <v>29</v>
      </c>
      <c r="F36">
        <f t="shared" si="897"/>
        <v>-0.92350668389273394</v>
      </c>
      <c r="G36">
        <f t="shared" si="898"/>
        <v>-1.3447923524949701</v>
      </c>
    </row>
    <row r="37">
      <c r="A37">
        <f t="shared" si="894"/>
        <v>31</v>
      </c>
      <c r="B37">
        <v>1.7940884644624944</v>
      </c>
      <c r="C37">
        <f t="shared" si="895"/>
        <v>1.68379334636317</v>
      </c>
      <c r="E37" s="15">
        <f t="shared" si="896"/>
        <v>30</v>
      </c>
      <c r="F37">
        <f t="shared" si="897"/>
        <v>-9.0278955688556997e-02</v>
      </c>
      <c r="G37">
        <f t="shared" si="898"/>
        <v>1.9240071895249998e-03</v>
      </c>
    </row>
    <row r="38">
      <c r="A38">
        <f t="shared" si="894"/>
        <v>32</v>
      </c>
      <c r="B38">
        <v>-1.4306090977486423</v>
      </c>
      <c r="C38">
        <f t="shared" si="895"/>
        <v>-0.61077144818691798</v>
      </c>
      <c r="E38" s="15">
        <f t="shared" si="896"/>
        <v>31</v>
      </c>
      <c r="F38">
        <f t="shared" si="897"/>
        <v>1.68379334636317</v>
      </c>
      <c r="G38">
        <f t="shared" si="898"/>
        <v>1.7465682647279801</v>
      </c>
    </row>
    <row r="39">
      <c r="A39">
        <f t="shared" si="894"/>
        <v>33</v>
      </c>
      <c r="B39">
        <v>1.4224628570818738</v>
      </c>
      <c r="C39">
        <f t="shared" si="895"/>
        <v>1.2810446629007599</v>
      </c>
      <c r="E39" s="15">
        <f t="shared" si="896"/>
        <v>32</v>
      </c>
      <c r="F39">
        <f t="shared" si="897"/>
        <v>-0.61077144818691798</v>
      </c>
      <c r="G39">
        <f t="shared" si="898"/>
        <v>-1.0631684876854901</v>
      </c>
    </row>
    <row r="40">
      <c r="A40">
        <f t="shared" si="894"/>
        <v>34</v>
      </c>
      <c r="B40">
        <v>-1.5344845213207501</v>
      </c>
      <c r="C40">
        <f t="shared" si="895"/>
        <v>-0.92224582870659189</v>
      </c>
      <c r="E40" s="15">
        <f t="shared" si="896"/>
        <v>33</v>
      </c>
      <c r="F40">
        <f t="shared" si="897"/>
        <v>1.2810446629007599</v>
      </c>
      <c r="G40">
        <f t="shared" si="898"/>
        <v>1.2719840151717701</v>
      </c>
    </row>
    <row r="41">
      <c r="A41">
        <f t="shared" si="894"/>
        <v>35</v>
      </c>
      <c r="B41">
        <v>-0.23943486259011687</v>
      </c>
      <c r="C41">
        <f t="shared" si="895"/>
        <v>-0.57811003842058095</v>
      </c>
      <c r="E41" s="15">
        <f t="shared" si="896"/>
        <v>34</v>
      </c>
      <c r="F41">
        <f t="shared" si="897"/>
        <v>-0.92224582870659189</v>
      </c>
      <c r="G41">
        <f t="shared" si="898"/>
        <v>-1.2893349070617799</v>
      </c>
    </row>
    <row r="42">
      <c r="A42">
        <f t="shared" si="894"/>
        <v>36</v>
      </c>
      <c r="B42">
        <v>1.1254873384110666</v>
      </c>
      <c r="C42">
        <f t="shared" si="895"/>
        <v>0.76869728403468596</v>
      </c>
      <c r="E42" s="15">
        <f t="shared" si="896"/>
        <v>35</v>
      </c>
      <c r="F42">
        <f t="shared" si="897"/>
        <v>-0.57811003842058095</v>
      </c>
      <c r="G42">
        <f t="shared" si="898"/>
        <v>-0.46442082834020393</v>
      </c>
    </row>
    <row r="43">
      <c r="A43">
        <f t="shared" si="894"/>
        <v>37</v>
      </c>
      <c r="B43">
        <v>-0.26828564280553119</v>
      </c>
      <c r="C43">
        <f t="shared" si="895"/>
        <v>4.4704988336535002e-02</v>
      </c>
      <c r="E43" s="15">
        <f t="shared" si="896"/>
        <v>36</v>
      </c>
      <c r="F43">
        <f t="shared" si="897"/>
        <v>0.76869728403468596</v>
      </c>
      <c r="G43">
        <f t="shared" si="898"/>
        <v>0.97853175243163215</v>
      </c>
    </row>
    <row r="44">
      <c r="A44">
        <f t="shared" si="894"/>
        <v>38</v>
      </c>
      <c r="B44">
        <v>-0.5822900860434399</v>
      </c>
      <c r="C44">
        <f t="shared" si="895"/>
        <v>-0.49733946564675902</v>
      </c>
      <c r="E44" s="15">
        <f t="shared" si="896"/>
        <v>37</v>
      </c>
      <c r="F44">
        <f t="shared" si="897"/>
        <v>4.4704988336535002e-02</v>
      </c>
      <c r="G44">
        <f t="shared" si="898"/>
        <v>-8.8803454143700999e-02</v>
      </c>
    </row>
    <row r="45">
      <c r="A45">
        <f t="shared" si="894"/>
        <v>39</v>
      </c>
      <c r="B45">
        <v>2.2483238493907365</v>
      </c>
      <c r="C45">
        <f t="shared" si="895"/>
        <v>2.0166442406466998</v>
      </c>
      <c r="E45" s="15">
        <f t="shared" si="896"/>
        <v>38</v>
      </c>
      <c r="F45">
        <f t="shared" si="897"/>
        <v>-0.49733946564675902</v>
      </c>
      <c r="G45">
        <f t="shared" si="898"/>
        <v>-0.56383306780438103</v>
      </c>
    </row>
    <row r="46">
      <c r="A46">
        <f t="shared" si="894"/>
        <v>40</v>
      </c>
      <c r="B46">
        <v>-1.3543974073052196</v>
      </c>
      <c r="C46">
        <f t="shared" si="895"/>
        <v>-0.39241120873067797</v>
      </c>
      <c r="E46" s="15">
        <f t="shared" si="896"/>
        <v>39</v>
      </c>
      <c r="F46">
        <f t="shared" si="897"/>
        <v>2.0166442406466998</v>
      </c>
      <c r="G46">
        <f t="shared" si="898"/>
        <v>2.1309410424756199</v>
      </c>
    </row>
    <row r="47">
      <c r="A47">
        <f t="shared" si="894"/>
        <v>41</v>
      </c>
      <c r="B47">
        <v>0.48261152802448642</v>
      </c>
      <c r="C47">
        <f t="shared" si="895"/>
        <v>0.47880316337405598</v>
      </c>
      <c r="E47" s="15">
        <f t="shared" si="896"/>
        <v>40</v>
      </c>
      <c r="F47">
        <f t="shared" si="897"/>
        <v>-0.39241120873067797</v>
      </c>
      <c r="G47">
        <f t="shared" si="898"/>
        <v>-0.91847338173760595</v>
      </c>
    </row>
    <row r="48">
      <c r="A48">
        <f t="shared" si="894"/>
        <v>42</v>
      </c>
      <c r="B48">
        <v>-0.10749079290397742</v>
      </c>
      <c r="C48">
        <f t="shared" si="895"/>
        <v>0.13114911585296499</v>
      </c>
      <c r="E48" s="15">
        <f t="shared" si="896"/>
        <v>41</v>
      </c>
      <c r="F48">
        <f t="shared" si="897"/>
        <v>0.47880316337405598</v>
      </c>
      <c r="G48">
        <f t="shared" si="898"/>
        <v>0.378102135429155</v>
      </c>
    </row>
    <row r="49">
      <c r="A49">
        <f t="shared" si="894"/>
        <v>43</v>
      </c>
      <c r="B49">
        <v>-0.80304736276954691</v>
      </c>
      <c r="C49">
        <f t="shared" si="895"/>
        <v>-0.68974482309167595</v>
      </c>
      <c r="E49" s="15">
        <f t="shared" si="896"/>
        <v>42</v>
      </c>
      <c r="F49">
        <f t="shared" si="897"/>
        <v>0.13114911585296499</v>
      </c>
      <c r="G49">
        <f t="shared" si="898"/>
        <v>-4.5276727418614e-02</v>
      </c>
    </row>
    <row r="50">
      <c r="A50">
        <f t="shared" si="894"/>
        <v>44</v>
      </c>
      <c r="B50">
        <v>0.2754508892602448</v>
      </c>
      <c r="C50">
        <f t="shared" si="895"/>
        <v>-4.6761014350019003e-02</v>
      </c>
      <c r="E50" s="15">
        <f t="shared" si="896"/>
        <v>43</v>
      </c>
      <c r="F50">
        <f t="shared" si="897"/>
        <v>-0.68974482309167595</v>
      </c>
      <c r="G50">
        <f t="shared" si="898"/>
        <v>-0.79806082369998999</v>
      </c>
    </row>
    <row r="51">
      <c r="A51">
        <f t="shared" si="894"/>
        <v>45</v>
      </c>
      <c r="B51">
        <v>1.990693199567108e-02</v>
      </c>
      <c r="C51">
        <f t="shared" si="895"/>
        <v>-6.7915955901391004e-02</v>
      </c>
      <c r="E51" s="15">
        <f t="shared" si="896"/>
        <v>44</v>
      </c>
      <c r="F51">
        <f t="shared" si="897"/>
        <v>-4.6761014350019003e-02</v>
      </c>
      <c r="G51">
        <f t="shared" si="898"/>
        <v>0.105265376022275</v>
      </c>
    </row>
    <row r="52">
      <c r="A52">
        <f t="shared" si="894"/>
        <v>46</v>
      </c>
      <c r="B52">
        <v>1.6866252840670588</v>
      </c>
      <c r="C52">
        <f t="shared" si="895"/>
        <v>1.6351027285369599</v>
      </c>
      <c r="E52" s="15">
        <f t="shared" si="896"/>
        <v>45</v>
      </c>
      <c r="F52">
        <f t="shared" si="897"/>
        <v>-6.7915955901391004e-02</v>
      </c>
      <c r="G52">
        <f t="shared" si="898"/>
        <v>6.6246145792089994e-03</v>
      </c>
    </row>
    <row r="53">
      <c r="A53">
        <f t="shared" si="894"/>
        <v>47</v>
      </c>
      <c r="B53">
        <v>-0.37900350643042596</v>
      </c>
      <c r="C53">
        <f t="shared" si="895"/>
        <v>0.42824334673203202</v>
      </c>
      <c r="E53" s="15">
        <f t="shared" si="896"/>
        <v>46</v>
      </c>
      <c r="F53">
        <f t="shared" si="897"/>
        <v>1.6351027285369599</v>
      </c>
      <c r="G53">
        <f t="shared" si="898"/>
        <v>1.68441434584393</v>
      </c>
    </row>
    <row r="54">
      <c r="A54">
        <f t="shared" si="894"/>
        <v>48</v>
      </c>
      <c r="B54">
        <v>-0.68133999121505795</v>
      </c>
      <c r="C54">
        <f t="shared" si="895"/>
        <v>-0.30576894721655101</v>
      </c>
      <c r="E54" s="15">
        <f t="shared" si="896"/>
        <v>47</v>
      </c>
      <c r="F54">
        <f t="shared" si="897"/>
        <v>0.42824334673203202</v>
      </c>
      <c r="G54">
        <f t="shared" si="898"/>
        <v>-1.5766370342394e-02</v>
      </c>
    </row>
    <row r="55">
      <c r="A55">
        <f t="shared" si="894"/>
        <v>49</v>
      </c>
      <c r="B55">
        <v>0.24680727410891504</v>
      </c>
      <c r="C55">
        <f t="shared" si="895"/>
        <v>0.16903700930034099</v>
      </c>
      <c r="E55" s="15">
        <f t="shared" si="896"/>
        <v>48</v>
      </c>
      <c r="F55">
        <f t="shared" si="897"/>
        <v>-0.30576894721655101</v>
      </c>
      <c r="G55">
        <f t="shared" si="898"/>
        <v>-0.60622147992123399</v>
      </c>
    </row>
    <row r="56">
      <c r="A56">
        <f t="shared" si="894"/>
        <v>50</v>
      </c>
      <c r="B56">
        <v>0.41769144074806713</v>
      </c>
      <c r="C56">
        <f t="shared" si="895"/>
        <v>0.48665589243652302</v>
      </c>
      <c r="E56" s="15">
        <f t="shared" si="896"/>
        <v>49</v>
      </c>
      <c r="F56">
        <f t="shared" si="897"/>
        <v>0.16903700930034099</v>
      </c>
      <c r="G56">
        <f t="shared" si="898"/>
        <v>0.134687298781766</v>
      </c>
    </row>
    <row r="57">
      <c r="A57">
        <f t="shared" si="894"/>
        <v>51</v>
      </c>
      <c r="B57">
        <v>0.39902892938942136</v>
      </c>
      <c r="C57">
        <f t="shared" si="895"/>
        <v>0.656149765945374</v>
      </c>
      <c r="E57" s="15">
        <f t="shared" si="896"/>
        <v>50</v>
      </c>
      <c r="F57">
        <f t="shared" si="897"/>
        <v>0.48665589243652302</v>
      </c>
      <c r="G57">
        <f t="shared" si="898"/>
        <v>0.42485479417344801</v>
      </c>
    </row>
    <row r="58">
      <c r="A58">
        <f t="shared" si="894"/>
        <v>52</v>
      </c>
      <c r="B58">
        <v>-0.25018139554307461</v>
      </c>
      <c r="C58">
        <f t="shared" si="895"/>
        <v>0.12931765474080301</v>
      </c>
      <c r="E58" s="15">
        <f t="shared" si="896"/>
        <v>51</v>
      </c>
      <c r="F58">
        <f t="shared" si="897"/>
        <v>0.656149765945374</v>
      </c>
      <c r="G58">
        <f t="shared" si="898"/>
        <v>0.49317470558024301</v>
      </c>
    </row>
    <row r="59">
      <c r="A59">
        <f t="shared" si="894"/>
        <v>53</v>
      </c>
      <c r="B59">
        <v>-1.1742528233216154</v>
      </c>
      <c r="C59">
        <f t="shared" si="895"/>
        <v>-1.0336941858944499</v>
      </c>
      <c r="E59" s="15">
        <f t="shared" si="896"/>
        <v>52</v>
      </c>
      <c r="F59">
        <f t="shared" si="897"/>
        <v>0.12931765474080301</v>
      </c>
      <c r="G59">
        <f t="shared" si="898"/>
        <v>-0.122521658291976</v>
      </c>
    </row>
    <row r="60">
      <c r="A60">
        <f t="shared" si="894"/>
        <v>54</v>
      </c>
      <c r="B60">
        <v>-1.404513152364584</v>
      </c>
      <c r="C60">
        <f t="shared" si="895"/>
        <v>-1.89324851782638</v>
      </c>
      <c r="E60" s="15">
        <f t="shared" si="896"/>
        <v>53</v>
      </c>
      <c r="F60">
        <f t="shared" si="897"/>
        <v>-1.0336941858944499</v>
      </c>
      <c r="G60">
        <f t="shared" si="898"/>
        <v>-1.17188602211336</v>
      </c>
    </row>
    <row r="61">
      <c r="A61">
        <f t="shared" si="894"/>
        <v>55</v>
      </c>
      <c r="B61">
        <v>-0.28172987991615123</v>
      </c>
      <c r="C61">
        <f t="shared" si="895"/>
        <v>-1.3261012119216999</v>
      </c>
      <c r="E61" s="15">
        <f t="shared" si="896"/>
        <v>54</v>
      </c>
      <c r="F61">
        <f t="shared" si="897"/>
        <v>-1.89324851782638</v>
      </c>
      <c r="G61">
        <f t="shared" si="898"/>
        <v>-1.65568386883913</v>
      </c>
    </row>
    <row r="62">
      <c r="A62">
        <f t="shared" si="894"/>
        <v>56</v>
      </c>
      <c r="B62">
        <v>-0.38821298272001858</v>
      </c>
      <c r="C62">
        <f t="shared" si="895"/>
        <v>-1.26013785508198</v>
      </c>
      <c r="E62" s="15">
        <f t="shared" si="896"/>
        <v>55</v>
      </c>
      <c r="F62">
        <f t="shared" si="897"/>
        <v>-1.3261012119216999</v>
      </c>
      <c r="G62">
        <f t="shared" si="898"/>
        <v>-0.69322897565260999</v>
      </c>
    </row>
    <row r="63">
      <c r="A63">
        <f t="shared" si="894"/>
        <v>57</v>
      </c>
      <c r="B63">
        <v>-0.43156998564742921</v>
      </c>
      <c r="C63">
        <f t="shared" si="895"/>
        <v>-1.2360238876608201</v>
      </c>
      <c r="E63" s="15">
        <f t="shared" si="896"/>
        <v>56</v>
      </c>
      <c r="F63">
        <f t="shared" si="897"/>
        <v>-1.26013785508198</v>
      </c>
      <c r="G63">
        <f t="shared" si="898"/>
        <v>-0.62883856380565395</v>
      </c>
    </row>
    <row r="64">
      <c r="A64">
        <f t="shared" si="894"/>
        <v>58</v>
      </c>
      <c r="B64">
        <v>1.386535004851783</v>
      </c>
      <c r="C64">
        <f t="shared" si="895"/>
        <v>0.60763228061869201</v>
      </c>
      <c r="E64" s="15">
        <f t="shared" si="896"/>
        <v>57</v>
      </c>
      <c r="F64">
        <f t="shared" si="897"/>
        <v>-1.2360238876608201</v>
      </c>
      <c r="G64">
        <f t="shared" si="898"/>
        <v>-0.62407262447702205</v>
      </c>
    </row>
    <row r="65">
      <c r="A65">
        <f t="shared" si="894"/>
        <v>59</v>
      </c>
      <c r="B65">
        <v>-1.3017512220934879</v>
      </c>
      <c r="C65">
        <f t="shared" si="895"/>
        <v>-1.15371562663076</v>
      </c>
      <c r="E65" s="15">
        <f t="shared" si="896"/>
        <v>58</v>
      </c>
      <c r="F65">
        <f t="shared" si="897"/>
        <v>0.60763228061869201</v>
      </c>
      <c r="G65">
        <f t="shared" si="898"/>
        <v>1.2049440905370301</v>
      </c>
    </row>
    <row r="66">
      <c r="A66">
        <f t="shared" si="894"/>
        <v>60</v>
      </c>
      <c r="B66">
        <v>-1.2553188286181356</v>
      </c>
      <c r="C66">
        <f t="shared" si="895"/>
        <v>-1.8025695228409699</v>
      </c>
      <c r="E66" s="15">
        <f t="shared" si="896"/>
        <v>59</v>
      </c>
      <c r="F66">
        <f t="shared" si="897"/>
        <v>-1.15371562663076</v>
      </c>
      <c r="G66">
        <f t="shared" si="898"/>
        <v>-1.0853564312983199</v>
      </c>
    </row>
    <row r="67">
      <c r="A67">
        <f t="shared" si="894"/>
        <v>61</v>
      </c>
      <c r="B67">
        <v>0.71120271461460161</v>
      </c>
      <c r="C67">
        <f t="shared" si="895"/>
        <v>-0.29953218565044998</v>
      </c>
      <c r="E67" s="15">
        <f t="shared" si="896"/>
        <v>60</v>
      </c>
      <c r="F67">
        <f t="shared" si="897"/>
        <v>-1.8025695228409699</v>
      </c>
      <c r="G67">
        <f t="shared" si="898"/>
        <v>-1.4477038677293901</v>
      </c>
    </row>
    <row r="68">
      <c r="A68">
        <f t="shared" si="894"/>
        <v>62</v>
      </c>
      <c r="B68">
        <v>-0.14927846160621394</v>
      </c>
      <c r="C68">
        <f t="shared" si="895"/>
        <v>-0.50119153448444898</v>
      </c>
      <c r="E68" s="15">
        <f t="shared" si="896"/>
        <v>61</v>
      </c>
      <c r="F68">
        <f t="shared" si="897"/>
        <v>-0.29953218565044998</v>
      </c>
      <c r="G68">
        <f t="shared" si="898"/>
        <v>0.354892294922242</v>
      </c>
    </row>
    <row r="69">
      <c r="A69">
        <f t="shared" si="894"/>
        <v>63</v>
      </c>
      <c r="B69">
        <v>2.1364162498976987e-02</v>
      </c>
      <c r="C69">
        <f t="shared" si="895"/>
        <v>-0.29961421931889398</v>
      </c>
      <c r="E69" s="15">
        <f t="shared" si="896"/>
        <v>62</v>
      </c>
      <c r="F69">
        <f t="shared" si="897"/>
        <v>-0.50119153448444898</v>
      </c>
      <c r="G69">
        <f t="shared" si="898"/>
        <v>-0.15244709005926901</v>
      </c>
    </row>
    <row r="70">
      <c r="A70">
        <f t="shared" si="894"/>
        <v>64</v>
      </c>
      <c r="B70">
        <v>3.3630781181214632e-02</v>
      </c>
      <c r="C70">
        <f t="shared" si="895"/>
        <v>-0.18037200484180599</v>
      </c>
      <c r="E70" s="15">
        <f t="shared" si="896"/>
        <v>63</v>
      </c>
      <c r="F70">
        <f t="shared" si="897"/>
        <v>-0.29961421931889398</v>
      </c>
      <c r="G70">
        <f t="shared" si="898"/>
        <v>-1.6862716647654e-02</v>
      </c>
    </row>
    <row r="71">
      <c r="A71">
        <f t="shared" si="894"/>
        <v>65</v>
      </c>
      <c r="B71">
        <v>2.4900321457140446</v>
      </c>
      <c r="C71">
        <f t="shared" si="895"/>
        <v>2.35704558608855</v>
      </c>
      <c r="E71" s="15">
        <f t="shared" si="896"/>
        <v>64</v>
      </c>
      <c r="F71">
        <f t="shared" si="897"/>
        <v>-0.18037200484180599</v>
      </c>
      <c r="G71">
        <f t="shared" si="898"/>
        <v>1.8592776088317001e-02</v>
      </c>
    </row>
    <row r="72">
      <c r="A72">
        <f t="shared" si="894"/>
        <v>66</v>
      </c>
      <c r="B72">
        <v>-0.22832106642044353</v>
      </c>
      <c r="C72">
        <f t="shared" si="895"/>
        <v>0.92360441469873999</v>
      </c>
      <c r="E72" s="15">
        <f t="shared" si="896"/>
        <v>65</v>
      </c>
      <c r="F72">
        <f t="shared" si="897"/>
        <v>2.35704558608855</v>
      </c>
      <c r="G72">
        <f t="shared" si="898"/>
        <v>2.4884106326158801</v>
      </c>
    </row>
    <row r="73">
      <c r="A73">
        <f t="shared" si="894"/>
        <v>67</v>
      </c>
      <c r="B73">
        <v>-0.99142145654823755</v>
      </c>
      <c r="C73">
        <f t="shared" si="895"/>
        <v>-0.29923415297503098</v>
      </c>
      <c r="E73" s="15">
        <f t="shared" si="896"/>
        <v>66</v>
      </c>
      <c r="F73">
        <f t="shared" si="897"/>
        <v>0.92360441469873999</v>
      </c>
      <c r="G73">
        <f t="shared" si="898"/>
        <v>0.30784846447865</v>
      </c>
    </row>
    <row r="74">
      <c r="A74">
        <f t="shared" si="894"/>
        <v>68</v>
      </c>
      <c r="B74">
        <v>0.28534068077982994</v>
      </c>
      <c r="C74">
        <f t="shared" si="895"/>
        <v>0.27416106500695597</v>
      </c>
      <c r="E74" s="15">
        <f t="shared" si="896"/>
        <v>67</v>
      </c>
      <c r="F74">
        <f t="shared" si="897"/>
        <v>-0.29923415297503098</v>
      </c>
      <c r="G74">
        <f t="shared" si="898"/>
        <v>-0.80944486594697884</v>
      </c>
    </row>
    <row r="75">
      <c r="A75">
        <f t="shared" ref="A75:A100" si="899">A74+1</f>
        <v>69</v>
      </c>
      <c r="B75">
        <v>-0.37876373558789128</v>
      </c>
      <c r="C75">
        <f t="shared" ref="C75:C99" si="900">0.7*C74+B75-0.2*B74</f>
        <v>-0.24391912623898801</v>
      </c>
      <c r="E75" s="15">
        <f t="shared" ref="E75:E100" si="901">E74+1</f>
        <v>68</v>
      </c>
      <c r="F75">
        <f t="shared" ref="F75:F100" si="902">C74</f>
        <v>0.27416106500695597</v>
      </c>
      <c r="G75">
        <f t="shared" ref="G75:G99" si="903">F75-SUMPRODUCT(F74,J$8)-SUMPRODUCT(G74,K$8)</f>
        <v>0.15341429355880101</v>
      </c>
    </row>
    <row r="76">
      <c r="A76">
        <f t="shared" si="899"/>
        <v>70</v>
      </c>
      <c r="B76">
        <v>-0.6172775165552018</v>
      </c>
      <c r="C76">
        <f t="shared" si="900"/>
        <v>-0.71226815780491604</v>
      </c>
      <c r="E76" s="15">
        <f t="shared" si="901"/>
        <v>69</v>
      </c>
      <c r="F76">
        <f t="shared" si="902"/>
        <v>-0.24391912623898801</v>
      </c>
      <c r="G76">
        <f t="shared" si="903"/>
        <v>-0.37036668246654902</v>
      </c>
    </row>
    <row r="77">
      <c r="A77">
        <f t="shared" si="899"/>
        <v>71</v>
      </c>
      <c r="B77">
        <v>-0.83006009584136975</v>
      </c>
      <c r="C77">
        <f t="shared" si="900"/>
        <v>-1.2051923029937699</v>
      </c>
      <c r="E77" s="15">
        <f t="shared" si="901"/>
        <v>70</v>
      </c>
      <c r="F77">
        <f t="shared" si="902"/>
        <v>-0.71226815780491604</v>
      </c>
      <c r="G77">
        <f t="shared" si="903"/>
        <v>-0.69403212203985798</v>
      </c>
    </row>
    <row r="78">
      <c r="A78">
        <f t="shared" si="899"/>
        <v>72</v>
      </c>
      <c r="B78">
        <v>0.62978853825533521</v>
      </c>
      <c r="C78">
        <f t="shared" si="900"/>
        <v>-4.7834054672030002e-02</v>
      </c>
      <c r="E78" s="15">
        <f t="shared" si="901"/>
        <v>71</v>
      </c>
      <c r="F78">
        <f t="shared" si="902"/>
        <v>-1.2051923029937699</v>
      </c>
      <c r="G78">
        <f t="shared" si="903"/>
        <v>-0.9957691110402539</v>
      </c>
    </row>
    <row r="79">
      <c r="A79">
        <f t="shared" si="899"/>
        <v>73</v>
      </c>
      <c r="B79">
        <v>-0.694040660745746</v>
      </c>
      <c r="C79">
        <f t="shared" si="900"/>
        <v>-0.85348220666723384</v>
      </c>
      <c r="E79" s="15">
        <f t="shared" si="901"/>
        <v>72</v>
      </c>
      <c r="F79">
        <f t="shared" si="902"/>
        <v>-4.7834054672030002e-02</v>
      </c>
      <c r="G79">
        <f t="shared" si="903"/>
        <v>0.37849162491960398</v>
      </c>
    </row>
    <row r="80">
      <c r="A80">
        <f t="shared" si="899"/>
        <v>74</v>
      </c>
      <c r="B80">
        <v>-1.129297764638155</v>
      </c>
      <c r="C80">
        <f t="shared" si="900"/>
        <v>-1.5879271771560699</v>
      </c>
      <c r="E80" s="15">
        <f t="shared" si="901"/>
        <v>73</v>
      </c>
      <c r="F80">
        <f t="shared" si="902"/>
        <v>-0.85348220666723384</v>
      </c>
      <c r="G80">
        <f t="shared" si="903"/>
        <v>-0.66808077655411902</v>
      </c>
    </row>
    <row r="81">
      <c r="A81">
        <f t="shared" si="899"/>
        <v>75</v>
      </c>
      <c r="B81">
        <v>0.6095368117304879</v>
      </c>
      <c r="C81">
        <f t="shared" si="900"/>
        <v>-0.27615265935112998</v>
      </c>
      <c r="E81" s="15">
        <f t="shared" si="901"/>
        <v>74</v>
      </c>
      <c r="F81">
        <f t="shared" si="902"/>
        <v>-1.5879271771560699</v>
      </c>
      <c r="G81">
        <f t="shared" si="903"/>
        <v>-1.27106495281054</v>
      </c>
    </row>
    <row r="82">
      <c r="A82">
        <f t="shared" si="899"/>
        <v>76</v>
      </c>
      <c r="B82">
        <v>-1.2359970227306327</v>
      </c>
      <c r="C82">
        <f t="shared" si="900"/>
        <v>-1.5512112466225201</v>
      </c>
      <c r="E82" s="15">
        <f t="shared" si="901"/>
        <v>75</v>
      </c>
      <c r="F82">
        <f t="shared" si="902"/>
        <v>-0.27615265935112998</v>
      </c>
      <c r="G82">
        <f t="shared" si="903"/>
        <v>0.30205968444027198</v>
      </c>
    </row>
    <row r="83">
      <c r="A83">
        <f t="shared" si="899"/>
        <v>77</v>
      </c>
      <c r="B83">
        <v>0.14781809608735161</v>
      </c>
      <c r="C83">
        <f t="shared" si="900"/>
        <v>-0.69083037200228203</v>
      </c>
      <c r="E83" s="15">
        <f t="shared" si="901"/>
        <v>76</v>
      </c>
      <c r="F83">
        <f t="shared" si="902"/>
        <v>-1.5512112466225201</v>
      </c>
      <c r="G83">
        <f t="shared" si="903"/>
        <v>-1.2398169926459901</v>
      </c>
    </row>
    <row r="84">
      <c r="A84">
        <f t="shared" si="899"/>
        <v>78</v>
      </c>
      <c r="B84">
        <v>0.14223995185972241</v>
      </c>
      <c r="C84">
        <f t="shared" si="900"/>
        <v>-0.37090492775934503</v>
      </c>
      <c r="E84" s="15">
        <f t="shared" si="901"/>
        <v>77</v>
      </c>
      <c r="F84">
        <f t="shared" si="902"/>
        <v>-0.69083037200228203</v>
      </c>
      <c r="G84">
        <f t="shared" si="903"/>
        <v>-0.125238343121687</v>
      </c>
    </row>
    <row r="85">
      <c r="A85">
        <f t="shared" si="899"/>
        <v>79</v>
      </c>
      <c r="B85">
        <v>0.78683578193082893</v>
      </c>
      <c r="C85">
        <f t="shared" si="900"/>
        <v>0.49875434212734299</v>
      </c>
      <c r="E85" s="15">
        <f t="shared" si="901"/>
        <v>78</v>
      </c>
      <c r="F85">
        <f t="shared" si="902"/>
        <v>-0.37090492775934503</v>
      </c>
      <c r="G85">
        <f t="shared" si="903"/>
        <v>5.3048327505358997e-02</v>
      </c>
    </row>
    <row r="86">
      <c r="A86">
        <f t="shared" si="899"/>
        <v>80</v>
      </c>
      <c r="B86">
        <v>-2.0572048484731567</v>
      </c>
      <c r="C86">
        <f t="shared" si="900"/>
        <v>-1.86544396537019</v>
      </c>
      <c r="E86" s="15">
        <f t="shared" si="901"/>
        <v>79</v>
      </c>
      <c r="F86">
        <f t="shared" si="902"/>
        <v>0.49875434212734299</v>
      </c>
      <c r="G86">
        <f t="shared" si="903"/>
        <v>0.77485598543129097</v>
      </c>
    </row>
    <row r="87">
      <c r="A87">
        <f t="shared" si="899"/>
        <v>81</v>
      </c>
      <c r="B87">
        <v>4.9553368430570136e-02</v>
      </c>
      <c r="C87">
        <f t="shared" si="900"/>
        <v>-0.844816437633928</v>
      </c>
      <c r="E87" s="15">
        <f t="shared" si="901"/>
        <v>80</v>
      </c>
      <c r="F87">
        <f t="shared" si="902"/>
        <v>-1.86544396537019</v>
      </c>
      <c r="G87">
        <f t="shared" si="903"/>
        <v>-1.89565957133248</v>
      </c>
    </row>
    <row r="88">
      <c r="A88">
        <f t="shared" si="899"/>
        <v>82</v>
      </c>
      <c r="B88">
        <v>-1.4066323798943019</v>
      </c>
      <c r="C88">
        <f t="shared" si="900"/>
        <v>-2.0079145599241599</v>
      </c>
      <c r="E88" s="15">
        <f t="shared" si="901"/>
        <v>81</v>
      </c>
      <c r="F88">
        <f t="shared" si="902"/>
        <v>-0.844816437633928</v>
      </c>
      <c r="G88">
        <f t="shared" si="903"/>
        <v>-0.32776139208777</v>
      </c>
    </row>
    <row r="89">
      <c r="A89">
        <f t="shared" si="899"/>
        <v>83</v>
      </c>
      <c r="B89">
        <v>1.5637407126388041</v>
      </c>
      <c r="C89">
        <f t="shared" si="900"/>
        <v>0.43952699667075007</v>
      </c>
      <c r="E89" s="15">
        <f t="shared" si="901"/>
        <v>82</v>
      </c>
      <c r="F89">
        <f t="shared" si="902"/>
        <v>-2.0079145599241599</v>
      </c>
      <c r="G89">
        <f t="shared" si="903"/>
        <v>-1.5598377294774</v>
      </c>
    </row>
    <row r="90">
      <c r="A90">
        <f t="shared" si="899"/>
        <v>84</v>
      </c>
      <c r="B90">
        <v>1.1803319732811373</v>
      </c>
      <c r="C90">
        <f t="shared" si="900"/>
        <v>1.17525272842291</v>
      </c>
      <c r="E90" s="15">
        <f t="shared" si="901"/>
        <v>83</v>
      </c>
      <c r="F90">
        <f t="shared" si="902"/>
        <v>0.43952699667075007</v>
      </c>
      <c r="G90">
        <f t="shared" si="903"/>
        <v>1.18977743535715</v>
      </c>
    </row>
    <row r="91">
      <c r="A91">
        <f t="shared" si="899"/>
        <v>85</v>
      </c>
      <c r="B91">
        <v>-0.6651070261756501</v>
      </c>
      <c r="C91">
        <f t="shared" si="900"/>
        <v>-7.8496510935840993e-02</v>
      </c>
      <c r="E91" s="15">
        <f t="shared" si="901"/>
        <v>84</v>
      </c>
      <c r="F91">
        <f t="shared" si="902"/>
        <v>1.17525272842291</v>
      </c>
      <c r="G91">
        <f t="shared" si="903"/>
        <v>1.3529459971684701</v>
      </c>
    </row>
    <row r="92">
      <c r="A92">
        <f t="shared" si="899"/>
        <v>86</v>
      </c>
      <c r="B92">
        <v>0.57494501634557915</v>
      </c>
      <c r="C92">
        <f t="shared" si="900"/>
        <v>0.65301886392562003</v>
      </c>
      <c r="E92" s="15">
        <f t="shared" si="901"/>
        <v>85</v>
      </c>
      <c r="F92">
        <f t="shared" si="902"/>
        <v>-7.8496510935840993e-02</v>
      </c>
      <c r="G92">
        <f t="shared" si="903"/>
        <v>-0.34030078236893702</v>
      </c>
    </row>
    <row r="93">
      <c r="A93">
        <f t="shared" si="899"/>
        <v>87</v>
      </c>
      <c r="B93">
        <v>-4.1159165518735163e-02</v>
      </c>
      <c r="C93">
        <f t="shared" si="900"/>
        <v>0.300965035960083</v>
      </c>
      <c r="E93" s="15">
        <f t="shared" si="901"/>
        <v>86</v>
      </c>
      <c r="F93">
        <f t="shared" si="902"/>
        <v>0.65301886392562003</v>
      </c>
      <c r="G93">
        <f t="shared" si="903"/>
        <v>0.56976830647120402</v>
      </c>
    </row>
    <row r="94">
      <c r="A94">
        <f t="shared" si="899"/>
        <v>88</v>
      </c>
      <c r="B94">
        <v>-0.89619571623511651</v>
      </c>
      <c r="C94">
        <f t="shared" si="900"/>
        <v>-0.67728835795931197</v>
      </c>
      <c r="E94" s="15">
        <f t="shared" si="901"/>
        <v>87</v>
      </c>
      <c r="F94">
        <f t="shared" si="902"/>
        <v>0.300965035960083</v>
      </c>
      <c r="G94">
        <f t="shared" si="903"/>
        <v>8.2146963160309006e-02</v>
      </c>
    </row>
    <row r="95">
      <c r="A95">
        <f t="shared" si="899"/>
        <v>89</v>
      </c>
      <c r="B95">
        <v>1.503359605306662</v>
      </c>
      <c r="C95">
        <f t="shared" si="900"/>
        <v>1.20849689798216</v>
      </c>
      <c r="E95" s="15">
        <f t="shared" si="901"/>
        <v>88</v>
      </c>
      <c r="F95">
        <f t="shared" si="902"/>
        <v>-0.67728835795931197</v>
      </c>
      <c r="G95">
        <f t="shared" si="903"/>
        <v>-0.85086797713257101</v>
      </c>
    </row>
    <row r="96">
      <c r="A96">
        <f t="shared" si="899"/>
        <v>90</v>
      </c>
      <c r="B96">
        <v>-0.71156365631100771</v>
      </c>
      <c r="C96">
        <f t="shared" si="900"/>
        <v>-0.16628774878482799</v>
      </c>
      <c r="E96" s="15">
        <f t="shared" si="901"/>
        <v>89</v>
      </c>
      <c r="F96">
        <f t="shared" si="902"/>
        <v>1.20849689798216</v>
      </c>
      <c r="G96">
        <f t="shared" si="903"/>
        <v>1.3306848158515201</v>
      </c>
    </row>
    <row r="97">
      <c r="A97">
        <f t="shared" si="899"/>
        <v>91</v>
      </c>
      <c r="B97">
        <v>0.98331759725438272</v>
      </c>
      <c r="C97">
        <f t="shared" si="900"/>
        <v>1.00922890436721</v>
      </c>
      <c r="E97" s="15">
        <f t="shared" si="901"/>
        <v>90</v>
      </c>
      <c r="F97">
        <f t="shared" si="902"/>
        <v>-0.16628774878482799</v>
      </c>
      <c r="G97">
        <f t="shared" si="903"/>
        <v>-0.45989496897161997</v>
      </c>
    </row>
    <row r="98">
      <c r="A98">
        <f t="shared" si="899"/>
        <v>92</v>
      </c>
      <c r="B98">
        <v>-0.83758504934694744</v>
      </c>
      <c r="C98">
        <f t="shared" si="900"/>
        <v>-0.32778833574077798</v>
      </c>
      <c r="E98" s="15">
        <f t="shared" si="901"/>
        <v>91</v>
      </c>
      <c r="F98">
        <f t="shared" si="902"/>
        <v>1.00922890436721</v>
      </c>
      <c r="G98">
        <f t="shared" si="903"/>
        <v>0.93806685998794204</v>
      </c>
    </row>
    <row r="99">
      <c r="A99">
        <f t="shared" si="899"/>
        <v>93</v>
      </c>
      <c r="B99">
        <v>-1.916010009424536</v>
      </c>
      <c r="C99">
        <f t="shared" si="900"/>
        <v>-1.9779448345737001</v>
      </c>
      <c r="E99" s="15">
        <f t="shared" si="901"/>
        <v>92</v>
      </c>
      <c r="F99">
        <f t="shared" si="902"/>
        <v>-0.32778833574077798</v>
      </c>
      <c r="G99">
        <f t="shared" si="903"/>
        <v>-0.64279225462887701</v>
      </c>
    </row>
    <row r="100">
      <c r="A100">
        <f t="shared" si="899"/>
        <v>94</v>
      </c>
      <c r="B100">
        <v>0.10151986902498664</v>
      </c>
      <c r="C100">
        <f>0.7*C99+B100-0.2*B99</f>
        <v>-0.89983951329169209</v>
      </c>
      <c r="E100" s="15">
        <f t="shared" si="901"/>
        <v>93</v>
      </c>
      <c r="F100">
        <f t="shared" si="902"/>
        <v>-1.9779448345737001</v>
      </c>
      <c r="G100">
        <f>F100-SUMPRODUCT(F99,J$8)-SUMPRODUCT(G99,K$8)</f>
        <v>-2.01191250369207</v>
      </c>
    </row>
    <row r="101">
      <c r="A101">
        <f t="shared" ref="A101:A111" si="904">A100+1</f>
        <v>95</v>
      </c>
      <c r="B101">
        <v>0.94375520294114756</v>
      </c>
      <c r="C101">
        <f t="shared" ref="C101:C111" si="905">0.7*C100+B101-0.2*B100</f>
        <v>0.29356356983196702</v>
      </c>
      <c r="E101" s="15">
        <f t="shared" ref="E101:E112" si="906">E100+1</f>
        <v>94</v>
      </c>
      <c r="F101">
        <f t="shared" ref="F101:F112" si="907">C100</f>
        <v>-0.89983951329169209</v>
      </c>
      <c r="G101">
        <f t="shared" ref="G101:G112" si="908">F101-SUMPRODUCT(F100,J$8)-SUMPRODUCT(G100,K$8)</f>
        <v>-0.35237981924439998</v>
      </c>
    </row>
    <row r="102">
      <c r="A102">
        <f t="shared" si="904"/>
        <v>96</v>
      </c>
      <c r="B102">
        <v>0.85739443406232341</v>
      </c>
      <c r="C102">
        <f t="shared" si="905"/>
        <v>0.87413789235646999</v>
      </c>
      <c r="E102" s="15">
        <f t="shared" si="906"/>
        <v>95</v>
      </c>
      <c r="F102">
        <f t="shared" si="907"/>
        <v>0.29356356983196702</v>
      </c>
      <c r="G102">
        <f t="shared" si="908"/>
        <v>0.76950525871534003</v>
      </c>
    </row>
    <row r="103">
      <c r="A103">
        <f t="shared" si="904"/>
        <v>97</v>
      </c>
      <c r="B103">
        <v>0.60817129254501401</v>
      </c>
      <c r="C103">
        <f t="shared" si="905"/>
        <v>1.0485889303820799</v>
      </c>
      <c r="E103" s="15">
        <f t="shared" si="906"/>
        <v>96</v>
      </c>
      <c r="F103">
        <f t="shared" si="907"/>
        <v>0.87413789235646999</v>
      </c>
      <c r="G103">
        <f t="shared" si="908"/>
        <v>0.98268128618877204</v>
      </c>
    </row>
    <row r="104">
      <c r="A104">
        <f t="shared" si="904"/>
        <v>98</v>
      </c>
      <c r="B104">
        <v>-0.23527438435259729</v>
      </c>
      <c r="C104">
        <f t="shared" si="905"/>
        <v>0.37710360840585599</v>
      </c>
      <c r="E104" s="15">
        <f t="shared" si="906"/>
        <v>97</v>
      </c>
      <c r="F104">
        <f t="shared" si="907"/>
        <v>1.0485889303820799</v>
      </c>
      <c r="G104">
        <f t="shared" si="908"/>
        <v>0.84434118484536991</v>
      </c>
    </row>
    <row r="105">
      <c r="A105">
        <f t="shared" si="904"/>
        <v>99</v>
      </c>
      <c r="B105">
        <v>0.78970600372079691</v>
      </c>
      <c r="C105">
        <f t="shared" si="905"/>
        <v>1.10073340647542</v>
      </c>
      <c r="E105" s="15">
        <f t="shared" si="906"/>
        <v>98</v>
      </c>
      <c r="F105">
        <f t="shared" si="907"/>
        <v>0.37710360840585599</v>
      </c>
      <c r="G105">
        <f t="shared" si="908"/>
        <v>-2.707140707669e-03</v>
      </c>
    </row>
    <row r="106">
      <c r="A106">
        <f t="shared" si="904"/>
        <v>100</v>
      </c>
      <c r="B106">
        <v>-1.0561154940171853</v>
      </c>
      <c r="C106">
        <f t="shared" si="905"/>
        <v>-0.44354331022855498</v>
      </c>
      <c r="E106" s="15">
        <f t="shared" si="906"/>
        <v>99</v>
      </c>
      <c r="F106">
        <f t="shared" si="907"/>
        <v>1.10073340647542</v>
      </c>
      <c r="G106">
        <f t="shared" si="908"/>
        <v>0.84066482828718203</v>
      </c>
    </row>
    <row r="107">
      <c r="A107">
        <f t="shared" si="904"/>
        <v>101</v>
      </c>
      <c r="B107">
        <v>0.22586923055446756</v>
      </c>
      <c r="C107">
        <f t="shared" si="905"/>
        <v>0.12661201219791701</v>
      </c>
      <c r="E107" s="15">
        <f t="shared" si="906"/>
        <v>100</v>
      </c>
      <c r="F107">
        <f t="shared" si="907"/>
        <v>-0.44354331022855498</v>
      </c>
      <c r="G107">
        <f t="shared" si="908"/>
        <v>-0.86064625107538784</v>
      </c>
    </row>
    <row r="108">
      <c r="A108">
        <f t="shared" si="904"/>
        <v>102</v>
      </c>
      <c r="B108">
        <v>0.57520223729110798</v>
      </c>
      <c r="C108">
        <f t="shared" si="905"/>
        <v>0.61865679971875598</v>
      </c>
      <c r="E108" s="15">
        <f t="shared" si="906"/>
        <v>101</v>
      </c>
      <c r="F108">
        <f t="shared" si="907"/>
        <v>0.12661201219791701</v>
      </c>
      <c r="G108">
        <f t="shared" si="908"/>
        <v>8.4333413880852998e-02</v>
      </c>
    </row>
    <row r="109">
      <c r="A109">
        <f t="shared" si="904"/>
        <v>103</v>
      </c>
      <c r="B109">
        <v>1.0513583351687668</v>
      </c>
      <c r="C109">
        <f t="shared" si="905"/>
        <v>1.3693776475136801</v>
      </c>
      <c r="E109" s="15">
        <f t="shared" si="906"/>
        <v>102</v>
      </c>
      <c r="F109">
        <f t="shared" si="907"/>
        <v>0.61865679971875598</v>
      </c>
      <c r="G109">
        <f t="shared" si="908"/>
        <v>0.56569609114867703</v>
      </c>
    </row>
    <row r="110">
      <c r="A110">
        <f t="shared" si="904"/>
        <v>104</v>
      </c>
      <c r="B110">
        <v>1.3149534009556495e-02</v>
      </c>
      <c r="C110">
        <f t="shared" si="905"/>
        <v>0.761442220235378</v>
      </c>
      <c r="E110" s="15">
        <f t="shared" si="906"/>
        <v>103</v>
      </c>
      <c r="F110">
        <f t="shared" si="907"/>
        <v>1.3693776475136801</v>
      </c>
      <c r="G110">
        <f t="shared" si="908"/>
        <v>1.1725165565962901</v>
      </c>
    </row>
    <row r="111">
      <c r="A111">
        <f t="shared" si="904"/>
        <v>105</v>
      </c>
      <c r="B111" s="14">
        <v>1.4243854081201066</v>
      </c>
      <c r="C111" s="14">
        <f t="shared" si="905"/>
        <v>1.9547650554829701</v>
      </c>
      <c r="E111" s="15">
        <f t="shared" si="906"/>
        <v>104</v>
      </c>
      <c r="F111">
        <f t="shared" si="907"/>
        <v>0.761442220235378</v>
      </c>
      <c r="G111">
        <f t="shared" si="908"/>
        <v>0.293599701593178</v>
      </c>
    </row>
    <row r="112">
      <c r="E112" s="17">
        <f t="shared" si="906"/>
        <v>105</v>
      </c>
      <c r="F112" s="14">
        <f t="shared" si="907"/>
        <v>1.9547650554829701</v>
      </c>
      <c r="G112" s="14">
        <f t="shared" si="908"/>
        <v>1.5501769314617799</v>
      </c>
    </row>
    <row r="113">
      <c r="B113" s="20" t="s">
        <v>576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J12" activeCellId="0" sqref="J12"/>
    </sheetView>
  </sheetViews>
  <sheetFormatPr defaultRowHeight="14.25"/>
  <cols>
    <col customWidth="1" min="1" max="1" width="4.8125"/>
    <col customWidth="1" min="4" max="4" width="5.7232139999999996"/>
    <col customWidth="1" min="5" max="5" width="7.7232139999999996"/>
    <col customWidth="1" min="8" max="8" width="6.2678570000000002"/>
    <col customWidth="1" min="10" max="10" width="15.294643000000001"/>
    <col customWidth="1" min="11" max="11" width="9.8125"/>
    <col customWidth="1" min="12" max="12" width="2.8125"/>
    <col customWidth="1" min="13" max="13" width="36"/>
    <col customWidth="1" min="18" max="19" width="9.1785709999999998"/>
  </cols>
  <sheetData>
    <row r="1">
      <c r="A1" s="1" t="s">
        <v>574</v>
      </c>
    </row>
    <row r="2" s="55" customFormat="1"/>
    <row r="3" s="55" customFormat="1" ht="15" customHeight="1">
      <c r="A3" s="55" t="s">
        <v>577</v>
      </c>
      <c r="E3" s="55" t="s">
        <v>578</v>
      </c>
      <c r="I3" s="55" t="s">
        <v>475</v>
      </c>
      <c r="O3" s="55" t="s">
        <v>477</v>
      </c>
    </row>
    <row r="4" s="55" customFormat="1"/>
    <row r="5">
      <c r="B5" s="4" t="s">
        <v>342</v>
      </c>
      <c r="C5" s="4" t="s">
        <v>343</v>
      </c>
      <c r="E5" s="24" t="s">
        <v>355</v>
      </c>
      <c r="F5" s="24" t="s">
        <v>173</v>
      </c>
      <c r="G5" s="24" t="s">
        <v>480</v>
      </c>
      <c r="I5" s="24" t="s">
        <v>481</v>
      </c>
      <c r="J5" s="24" t="s">
        <v>482</v>
      </c>
      <c r="K5" s="24" t="s">
        <v>483</v>
      </c>
      <c r="O5" s="24" t="s">
        <v>485</v>
      </c>
      <c r="P5" s="24" t="s">
        <v>486</v>
      </c>
      <c r="Q5" s="24" t="s">
        <v>579</v>
      </c>
      <c r="R5" s="24" t="s">
        <v>580</v>
      </c>
      <c r="S5" s="24" t="s">
        <v>189</v>
      </c>
    </row>
    <row r="6">
      <c r="B6" s="15"/>
      <c r="C6" s="15"/>
      <c r="E6">
        <v>1</v>
      </c>
      <c r="F6">
        <f t="shared" ref="F6:F8" si="909">C7-K$7</f>
        <v>-7.0300077469619699</v>
      </c>
      <c r="G6">
        <v>0</v>
      </c>
      <c r="I6" s="15">
        <v>1</v>
      </c>
      <c r="J6">
        <v>0.75099344092444753</v>
      </c>
      <c r="K6">
        <v>-0.48632527191137565</v>
      </c>
      <c r="O6" t="s">
        <v>488</v>
      </c>
      <c r="P6">
        <f>J6</f>
        <v>0.75099344092444797</v>
      </c>
      <c r="Q6" t="e">
        <v>#NAME?</v>
      </c>
      <c r="R6" t="e">
        <f>K17*(LN(Q6)-LN(K9))</f>
        <v>#NAME?</v>
      </c>
      <c r="S6" t="e">
        <f t="shared" ref="S6:S8" si="910">CHIDIST(R6,1)</f>
        <v>#NAME?</v>
      </c>
    </row>
    <row r="7">
      <c r="A7">
        <v>1</v>
      </c>
      <c r="B7">
        <v>0.11767564756553414</v>
      </c>
      <c r="C7">
        <f t="shared" ref="C7:C9" si="911">3+0.7*C6+B7-0.2*B6</f>
        <v>3.1176756475655298</v>
      </c>
      <c r="E7">
        <f t="shared" ref="E7:E10" si="912">E6+1</f>
        <v>2</v>
      </c>
      <c r="F7">
        <f t="shared" si="909"/>
        <v>-4.33943230872858</v>
      </c>
      <c r="G7">
        <f t="shared" ref="G7:G9" si="913">F7-SUMPRODUCT(F6,J$6)-SUMPRODUCT(G6,K$6)</f>
        <v>0.94005739888790996</v>
      </c>
      <c r="I7" s="17" t="s">
        <v>494</v>
      </c>
      <c r="J7" s="14">
        <f>K7*(1-SUM(J6))</f>
        <v>2.5268397246594101</v>
      </c>
      <c r="K7" s="14">
        <v>10.147683394527482</v>
      </c>
      <c r="O7" t="s">
        <v>581</v>
      </c>
      <c r="P7">
        <f>K6</f>
        <v>-0.48632527191137598</v>
      </c>
      <c r="Q7" t="e">
        <v>#NAME?</v>
      </c>
      <c r="R7" t="e">
        <f>K17*(LN(Q7)-LN(K9))</f>
        <v>#NAME?</v>
      </c>
      <c r="S7" t="e">
        <f t="shared" si="910"/>
        <v>#NAME?</v>
      </c>
    </row>
    <row r="8">
      <c r="A8">
        <f t="shared" ref="A8:A10" si="914">A7+1</f>
        <v>2</v>
      </c>
      <c r="B8">
        <v>0.64941326201616079</v>
      </c>
      <c r="C8">
        <f t="shared" si="911"/>
        <v>5.8082510857989202</v>
      </c>
      <c r="E8">
        <f t="shared" si="912"/>
        <v>3</v>
      </c>
      <c r="F8">
        <f t="shared" si="909"/>
        <v>-5.2409147961457201</v>
      </c>
      <c r="G8">
        <f t="shared" si="913"/>
        <v>-1.5248559248284601</v>
      </c>
      <c r="O8" s="14" t="s">
        <v>494</v>
      </c>
      <c r="P8" s="14">
        <f>J7</f>
        <v>2.5268397246594101</v>
      </c>
      <c r="Q8" s="14" t="e">
        <v>#NAME?</v>
      </c>
      <c r="R8" s="14" t="e">
        <f>K17*(LN(Q8)-LN(K9))</f>
        <v>#NAME?</v>
      </c>
      <c r="S8" s="14" t="e">
        <f t="shared" si="910"/>
        <v>#NAME?</v>
      </c>
    </row>
    <row r="9">
      <c r="A9">
        <f t="shared" si="914"/>
        <v>3</v>
      </c>
      <c r="B9">
        <v>-2.0291245092742414</v>
      </c>
      <c r="C9">
        <f t="shared" si="911"/>
        <v>4.9067685983817801</v>
      </c>
      <c r="E9">
        <f t="shared" si="912"/>
        <v>4</v>
      </c>
      <c r="F9">
        <f t="shared" ref="F9:F72" si="915">C10-K$7</f>
        <v>-4.0282089122672504</v>
      </c>
      <c r="G9">
        <f t="shared" si="913"/>
        <v>-0.83389224818580399</v>
      </c>
      <c r="J9" t="s">
        <v>464</v>
      </c>
      <c r="K9" s="18">
        <f>SUMSQ(G7:G110)</f>
        <v>109.15084715738701</v>
      </c>
    </row>
    <row r="10">
      <c r="A10">
        <f t="shared" si="914"/>
        <v>4</v>
      </c>
      <c r="B10">
        <v>-0.72108843846184933</v>
      </c>
      <c r="C10">
        <f>3+0.7*C9+B10-0.2*B9</f>
        <v>6.1194744822602498</v>
      </c>
      <c r="E10">
        <f t="shared" si="912"/>
        <v>5</v>
      </c>
      <c r="F10">
        <f t="shared" si="915"/>
        <v>-2.0123570827617798</v>
      </c>
      <c r="G10">
        <f>F10-SUMPRODUCT(F9,J$6)-SUMPRODUCT(G9,K$6)</f>
        <v>0.60725851468058101</v>
      </c>
    </row>
    <row r="11">
      <c r="A11">
        <f t="shared" ref="A11:A74" si="916">A10+1</f>
        <v>5</v>
      </c>
      <c r="B11">
        <v>0.70747648649116812</v>
      </c>
      <c r="C11">
        <f t="shared" ref="C11:C74" si="917">3+0.7*C10+B11-0.2*B10</f>
        <v>8.13532631176572</v>
      </c>
      <c r="E11">
        <f t="shared" ref="E11:E74" si="918">E10+1</f>
        <v>6</v>
      </c>
      <c r="F11">
        <f t="shared" si="915"/>
        <v>-0.802815967881509</v>
      </c>
      <c r="G11">
        <f t="shared" ref="G11:G74" si="919">F11-SUMPRODUCT(F10,J$6)-SUMPRODUCT(G10,K$6)</f>
        <v>1.0037761643429699</v>
      </c>
      <c r="J11" t="s">
        <v>500</v>
      </c>
      <c r="K11" s="7">
        <f>AVERAGE(G7:G110)</f>
        <v>5.7767720864700014e-04</v>
      </c>
      <c r="M11" t="e">
        <v>#NAME?</v>
      </c>
      <c r="O11" s="24" t="s">
        <v>485</v>
      </c>
      <c r="P11" s="24" t="s">
        <v>486</v>
      </c>
      <c r="Q11" s="24" t="s">
        <v>582</v>
      </c>
      <c r="R11" s="24" t="s">
        <v>294</v>
      </c>
      <c r="S11" s="24" t="s">
        <v>189</v>
      </c>
    </row>
    <row r="12">
      <c r="A12">
        <f t="shared" si="916"/>
        <v>6</v>
      </c>
      <c r="B12">
        <v>0.79163430570821358</v>
      </c>
      <c r="C12">
        <f t="shared" si="917"/>
        <v>9.3448674266459903</v>
      </c>
      <c r="E12">
        <f t="shared" si="918"/>
        <v>7</v>
      </c>
      <c r="F12">
        <f t="shared" si="915"/>
        <v>-1.0000327106403299</v>
      </c>
      <c r="G12">
        <f t="shared" si="919"/>
        <v>9.1038531570347997e-02</v>
      </c>
      <c r="J12" t="s">
        <v>502</v>
      </c>
      <c r="K12" s="10">
        <f>STDEV(G7:G110)</f>
        <v>1.02942538619475</v>
      </c>
      <c r="M12" t="e">
        <v>#NAME?</v>
      </c>
      <c r="O12" s="14" t="s">
        <v>283</v>
      </c>
      <c r="P12" s="14">
        <f>K15</f>
        <v>-0.22770272959629301</v>
      </c>
      <c r="Q12" s="14">
        <f>-P12/(K16/SQRT(K17))</f>
        <v>1.7419814194640399</v>
      </c>
      <c r="R12" s="26">
        <f>K17-1</f>
        <v>103</v>
      </c>
      <c r="S12" s="14">
        <f>TDIST(ABS(Q12),R12,2)</f>
        <v>8.4496852814672008e-02</v>
      </c>
    </row>
    <row r="13">
      <c r="A13">
        <f t="shared" si="916"/>
        <v>7</v>
      </c>
      <c r="B13">
        <v>-0.23542965362338003</v>
      </c>
      <c r="C13">
        <f t="shared" si="917"/>
        <v>9.1476506838871696</v>
      </c>
      <c r="E13">
        <f t="shared" si="918"/>
        <v>8</v>
      </c>
      <c r="F13">
        <f t="shared" si="915"/>
        <v>-2.0461901132245099</v>
      </c>
      <c r="G13">
        <f t="shared" si="919"/>
        <v>-1.25089776820337</v>
      </c>
      <c r="J13" t="s">
        <v>503</v>
      </c>
      <c r="K13" s="10">
        <f>SQRT(K9/K17)</f>
        <v>1.02446443399141</v>
      </c>
      <c r="M13" t="e">
        <v>#NAME?</v>
      </c>
    </row>
    <row r="14">
      <c r="A14">
        <f t="shared" si="916"/>
        <v>8</v>
      </c>
      <c r="B14">
        <v>-1.3489481281427076</v>
      </c>
      <c r="C14">
        <f t="shared" si="917"/>
        <v>8.1014932813029894</v>
      </c>
      <c r="E14">
        <f t="shared" si="918"/>
        <v>9</v>
      </c>
      <c r="F14">
        <f t="shared" si="915"/>
        <v>-1.2643653545990001e-03</v>
      </c>
      <c r="G14">
        <f t="shared" si="919"/>
        <v>0.92706779130662298</v>
      </c>
      <c r="J14" t="s">
        <v>583</v>
      </c>
      <c r="K14" s="10">
        <f>AVERAGE(C7:C111)</f>
        <v>9.8551968076229599</v>
      </c>
      <c r="M14" t="e">
        <v>#NAME?</v>
      </c>
    </row>
    <row r="15">
      <c r="A15">
        <f t="shared" si="916"/>
        <v>9</v>
      </c>
      <c r="B15">
        <v>1.2055841066323034</v>
      </c>
      <c r="C15">
        <f t="shared" si="917"/>
        <v>10.1464190291729</v>
      </c>
      <c r="E15">
        <f t="shared" si="918"/>
        <v>10</v>
      </c>
      <c r="F15">
        <f t="shared" si="915"/>
        <v>0.89751295447660007</v>
      </c>
      <c r="G15">
        <f t="shared" si="919"/>
        <v>1.34931898025231</v>
      </c>
      <c r="J15" t="s">
        <v>584</v>
      </c>
      <c r="K15" s="10">
        <f>AVERAGE(F7:F110)</f>
        <v>-0.22770272959629301</v>
      </c>
      <c r="M15" t="e">
        <v>#NAME?</v>
      </c>
    </row>
    <row r="16">
      <c r="A16">
        <f t="shared" si="916"/>
        <v>10</v>
      </c>
      <c r="B16">
        <v>1.1838198499095891</v>
      </c>
      <c r="C16">
        <f t="shared" si="917"/>
        <v>11.045196349004099</v>
      </c>
      <c r="E16">
        <f t="shared" si="918"/>
        <v>11</v>
      </c>
      <c r="F16">
        <f t="shared" si="915"/>
        <v>-2.5105314344498995e-02</v>
      </c>
      <c r="G16">
        <f t="shared" si="919"/>
        <v>-4.2923736334762992e-02</v>
      </c>
      <c r="J16" t="s">
        <v>505</v>
      </c>
      <c r="K16" s="10">
        <f>STDEV(F7:F110)</f>
        <v>1.33303449570326</v>
      </c>
      <c r="M16" t="e">
        <v>#NAME?</v>
      </c>
    </row>
    <row r="17">
      <c r="A17">
        <f t="shared" si="916"/>
        <v>11</v>
      </c>
      <c r="B17">
        <v>-0.37229539413802176</v>
      </c>
      <c r="C17">
        <f t="shared" si="917"/>
        <v>10.122578080183001</v>
      </c>
      <c r="E17">
        <f t="shared" si="918"/>
        <v>12</v>
      </c>
      <c r="F17">
        <f t="shared" si="915"/>
        <v>2.5918849924601001e-02</v>
      </c>
      <c r="G17">
        <f t="shared" si="919"/>
        <v>2.3897878585210003e-02</v>
      </c>
      <c r="J17" t="s">
        <v>506</v>
      </c>
      <c r="K17" s="13">
        <f>COUNT(F7:F110)</f>
        <v>104</v>
      </c>
      <c r="M17" t="e">
        <v>#NAME?</v>
      </c>
    </row>
    <row r="18">
      <c r="A18">
        <f t="shared" si="916"/>
        <v>12</v>
      </c>
      <c r="B18">
        <v>1.3338509496353779e-02</v>
      </c>
      <c r="C18">
        <f t="shared" si="917"/>
        <v>10.1736022444521</v>
      </c>
      <c r="E18">
        <f t="shared" si="918"/>
        <v>13</v>
      </c>
      <c r="F18">
        <f t="shared" si="915"/>
        <v>0.67362640636540105</v>
      </c>
      <c r="G18">
        <f t="shared" si="919"/>
        <v>0.665783662376778</v>
      </c>
      <c r="M18" t="e">
        <v>#NAME?</v>
      </c>
    </row>
    <row r="19">
      <c r="A19">
        <f t="shared" si="916"/>
        <v>13</v>
      </c>
      <c r="B19">
        <v>0.70245593167564913</v>
      </c>
      <c r="C19">
        <f t="shared" si="917"/>
        <v>10.8213098008929</v>
      </c>
      <c r="E19">
        <f t="shared" si="918"/>
        <v>14</v>
      </c>
      <c r="F19">
        <f t="shared" si="915"/>
        <v>-6.3620144953500005e-02</v>
      </c>
      <c r="G19">
        <f t="shared" si="919"/>
        <v>-0.24572173712788498</v>
      </c>
      <c r="J19" t="s">
        <v>497</v>
      </c>
      <c r="K19" s="7">
        <v>1</v>
      </c>
    </row>
    <row r="20">
      <c r="A20">
        <f t="shared" si="916"/>
        <v>14</v>
      </c>
      <c r="B20">
        <v>-0.35036242471588258</v>
      </c>
      <c r="C20">
        <f t="shared" si="917"/>
        <v>10.084063249573999</v>
      </c>
      <c r="E20">
        <f t="shared" si="918"/>
        <v>15</v>
      </c>
      <c r="F20">
        <f t="shared" si="915"/>
        <v>0.19837066102800097</v>
      </c>
      <c r="G20">
        <f t="shared" si="919"/>
        <v>0.126648281975488</v>
      </c>
      <c r="J20" t="s">
        <v>498</v>
      </c>
      <c r="K20" s="13">
        <v>1</v>
      </c>
    </row>
    <row r="21">
      <c r="A21">
        <f t="shared" si="916"/>
        <v>15</v>
      </c>
      <c r="B21">
        <v>0.21713729591053149</v>
      </c>
      <c r="C21">
        <f t="shared" si="917"/>
        <v>10.3460540555555</v>
      </c>
      <c r="E21">
        <f t="shared" si="918"/>
        <v>16</v>
      </c>
      <c r="F21">
        <f t="shared" si="915"/>
        <v>-0.45548045522483005</v>
      </c>
      <c r="G21">
        <f t="shared" si="919"/>
        <v>-0.54286326035986798</v>
      </c>
    </row>
    <row r="22">
      <c r="A22">
        <f t="shared" si="916"/>
        <v>16</v>
      </c>
      <c r="B22">
        <v>-0.50660744040413153</v>
      </c>
      <c r="C22">
        <f t="shared" si="917"/>
        <v>9.6922029393026694</v>
      </c>
      <c r="E22">
        <f t="shared" si="918"/>
        <v>17</v>
      </c>
      <c r="F22">
        <f t="shared" si="915"/>
        <v>1.0578913760983999</v>
      </c>
      <c r="G22">
        <f t="shared" si="919"/>
        <v>1.1359460877363201</v>
      </c>
      <c r="J22" t="s">
        <v>507</v>
      </c>
      <c r="K22" s="7">
        <f>-(K25-2*(K19+K20+2))/2</f>
        <v>-150.08328460523299</v>
      </c>
      <c r="M22" t="e">
        <v>#NAME?</v>
      </c>
    </row>
    <row r="23">
      <c r="A23">
        <f t="shared" si="916"/>
        <v>17</v>
      </c>
      <c r="B23">
        <v>1.3197112250332259</v>
      </c>
      <c r="C23">
        <f t="shared" si="917"/>
        <v>11.205574770625899</v>
      </c>
      <c r="E23">
        <f t="shared" si="918"/>
        <v>18</v>
      </c>
      <c r="F23">
        <f t="shared" si="915"/>
        <v>2.5044330219874</v>
      </c>
      <c r="G23">
        <f t="shared" si="919"/>
        <v>2.2624028273219898</v>
      </c>
      <c r="J23" t="s">
        <v>374</v>
      </c>
      <c r="K23" s="10">
        <f>K17*LN(K9/K17)+2*(K19+K20+2)</f>
        <v>13.0273543038937</v>
      </c>
      <c r="M23" t="e">
        <v>#NAME?</v>
      </c>
    </row>
    <row r="24">
      <c r="A24">
        <f t="shared" si="916"/>
        <v>18</v>
      </c>
      <c r="B24">
        <v>2.0721563220833827</v>
      </c>
      <c r="C24">
        <f t="shared" si="917"/>
        <v>12.6521164165149</v>
      </c>
      <c r="E24">
        <f t="shared" si="918"/>
        <v>19</v>
      </c>
      <c r="F24">
        <f t="shared" si="915"/>
        <v>3.2586457741079</v>
      </c>
      <c r="G24">
        <f t="shared" si="919"/>
        <v>2.4780966715311998</v>
      </c>
      <c r="J24" t="s">
        <v>508</v>
      </c>
      <c r="K24" s="10">
        <f>K17*LN(K9/K17)+LN(K17)*(K19+K20+2)</f>
        <v>23.604917900459199</v>
      </c>
      <c r="M24" t="e">
        <v>#NAME?</v>
      </c>
    </row>
    <row r="25">
      <c r="A25">
        <f t="shared" si="916"/>
        <v>19</v>
      </c>
      <c r="B25">
        <v>1.9642789414916848</v>
      </c>
      <c r="C25">
        <f t="shared" si="917"/>
        <v>13.4063291686354</v>
      </c>
      <c r="E25">
        <f t="shared" si="918"/>
        <v>20</v>
      </c>
      <c r="F25">
        <f t="shared" si="915"/>
        <v>2.0835345356564998</v>
      </c>
      <c r="G25">
        <f t="shared" si="919"/>
        <v>0.84147397061038998</v>
      </c>
      <c r="J25" t="s">
        <v>509</v>
      </c>
      <c r="K25" s="10">
        <f>K17*(1+LN(2*PI()))+K23</f>
        <v>308.16656921046501</v>
      </c>
      <c r="M25" t="e">
        <v>#NAME?</v>
      </c>
    </row>
    <row r="26">
      <c r="A26">
        <f t="shared" si="916"/>
        <v>20</v>
      </c>
      <c r="B26">
        <v>0.23964330043753548</v>
      </c>
      <c r="C26">
        <f t="shared" si="917"/>
        <v>12.231217930184</v>
      </c>
      <c r="E26">
        <f t="shared" si="918"/>
        <v>21</v>
      </c>
      <c r="F26">
        <f t="shared" si="915"/>
        <v>1.9692910614318</v>
      </c>
      <c r="G26">
        <f t="shared" si="919"/>
        <v>0.81380034877764307</v>
      </c>
      <c r="J26" t="s">
        <v>510</v>
      </c>
      <c r="K26" s="13">
        <f>K17*(1+LN(2*PI()))+K24</f>
        <v>318.74413280702998</v>
      </c>
      <c r="M26" t="e">
        <v>#NAME?</v>
      </c>
    </row>
    <row r="27">
      <c r="A27">
        <f t="shared" si="916"/>
        <v>21</v>
      </c>
      <c r="B27">
        <v>0.60305056491796249</v>
      </c>
      <c r="C27">
        <f t="shared" si="917"/>
        <v>12.1169744559593</v>
      </c>
      <c r="E27">
        <f t="shared" si="918"/>
        <v>22</v>
      </c>
      <c r="F27">
        <f t="shared" si="915"/>
        <v>0.31220549983340001</v>
      </c>
      <c r="G27">
        <f t="shared" si="919"/>
        <v>-0.77094749467217005</v>
      </c>
    </row>
    <row r="28">
      <c r="A28">
        <f t="shared" si="916"/>
        <v>22</v>
      </c>
      <c r="B28">
        <v>-0.90138311182696318</v>
      </c>
      <c r="C28">
        <f t="shared" si="917"/>
        <v>10.459888894360899</v>
      </c>
      <c r="E28">
        <f t="shared" si="918"/>
        <v>23</v>
      </c>
      <c r="F28">
        <f t="shared" si="915"/>
        <v>-0.70122572344630996</v>
      </c>
      <c r="G28">
        <f t="shared" si="919"/>
        <v>-1.3106212560175701</v>
      </c>
    </row>
    <row r="29">
      <c r="A29">
        <f t="shared" si="916"/>
        <v>23</v>
      </c>
      <c r="B29">
        <v>-1.0557411773368033</v>
      </c>
      <c r="C29">
        <f t="shared" si="917"/>
        <v>9.4464576710811894</v>
      </c>
      <c r="E29">
        <f t="shared" si="918"/>
        <v>24</v>
      </c>
      <c r="F29">
        <f t="shared" si="915"/>
        <v>1.0333470402667999</v>
      </c>
      <c r="G29">
        <f t="shared" si="919"/>
        <v>0.92257472047690603</v>
      </c>
    </row>
    <row r="30">
      <c r="A30">
        <f t="shared" si="916"/>
        <v>24</v>
      </c>
      <c r="B30">
        <v>1.3573618295701022</v>
      </c>
      <c r="C30">
        <f t="shared" si="917"/>
        <v>11.1810304347943</v>
      </c>
      <c r="E30">
        <f t="shared" si="918"/>
        <v>25</v>
      </c>
      <c r="F30">
        <f t="shared" si="915"/>
        <v>-2.5623231781818498</v>
      </c>
      <c r="G30">
        <f t="shared" si="919"/>
        <v>-2.8896886258264201</v>
      </c>
    </row>
    <row r="31">
      <c r="A31">
        <f t="shared" si="916"/>
        <v>25</v>
      </c>
      <c r="B31">
        <v>-2.969888722096329</v>
      </c>
      <c r="C31">
        <f t="shared" si="917"/>
        <v>7.5853602163456504</v>
      </c>
      <c r="E31">
        <f t="shared" si="918"/>
        <v>26</v>
      </c>
      <c r="F31">
        <f t="shared" si="915"/>
        <v>0.8308484668842</v>
      </c>
      <c r="G31">
        <f t="shared" si="919"/>
        <v>1.3498077605332099</v>
      </c>
    </row>
    <row r="32">
      <c r="A32">
        <f t="shared" si="916"/>
        <v>26</v>
      </c>
      <c r="B32">
        <v>2.0748019655504284</v>
      </c>
      <c r="C32">
        <f t="shared" si="917"/>
        <v>10.9785318614117</v>
      </c>
      <c r="E32">
        <f t="shared" si="918"/>
        <v>27</v>
      </c>
      <c r="F32">
        <f t="shared" si="915"/>
        <v>0.40254181409830092</v>
      </c>
      <c r="G32">
        <f t="shared" si="919"/>
        <v>0.43502569123553203</v>
      </c>
    </row>
    <row r="33">
      <c r="A33">
        <f t="shared" si="916"/>
        <v>27</v>
      </c>
      <c r="B33">
        <v>0.28021329874765349</v>
      </c>
      <c r="C33">
        <f t="shared" si="917"/>
        <v>10.5502252086258</v>
      </c>
      <c r="E33">
        <f t="shared" si="918"/>
        <v>28</v>
      </c>
      <c r="F33">
        <f t="shared" si="915"/>
        <v>1.0797780365176</v>
      </c>
      <c r="G33">
        <f t="shared" si="919"/>
        <v>0.98903576201050192</v>
      </c>
    </row>
    <row r="34">
      <c r="A34">
        <f t="shared" si="916"/>
        <v>28</v>
      </c>
      <c r="B34">
        <v>0.89834644475651204</v>
      </c>
      <c r="C34">
        <f t="shared" si="917"/>
        <v>11.2274614310451</v>
      </c>
      <c r="E34">
        <f t="shared" si="918"/>
        <v>29</v>
      </c>
      <c r="F34">
        <f t="shared" si="915"/>
        <v>-1.0715120689957101</v>
      </c>
      <c r="G34">
        <f t="shared" si="919"/>
        <v>-1.40142520618488</v>
      </c>
    </row>
    <row r="35">
      <c r="A35">
        <f t="shared" si="916"/>
        <v>29</v>
      </c>
      <c r="B35">
        <v>-1.603382387248506</v>
      </c>
      <c r="C35">
        <f t="shared" si="917"/>
        <v>9.0761713255317904</v>
      </c>
      <c r="E35">
        <f t="shared" si="918"/>
        <v>30</v>
      </c>
      <c r="F35">
        <f t="shared" si="915"/>
        <v>-0.238187743618889</v>
      </c>
      <c r="G35">
        <f t="shared" si="919"/>
        <v>-0.11503770239304401</v>
      </c>
    </row>
    <row r="36">
      <c r="A36">
        <f t="shared" si="916"/>
        <v>30</v>
      </c>
      <c r="B36">
        <v>0.23549924558665486</v>
      </c>
      <c r="C36">
        <f t="shared" si="917"/>
        <v>9.9094956509086103</v>
      </c>
      <c r="E36">
        <f t="shared" si="918"/>
        <v>31</v>
      </c>
      <c r="F36">
        <f t="shared" si="915"/>
        <v>1.5359521764537001</v>
      </c>
      <c r="G36">
        <f t="shared" si="919"/>
        <v>1.6588838677237201</v>
      </c>
    </row>
    <row r="37">
      <c r="A37">
        <f t="shared" si="916"/>
        <v>31</v>
      </c>
      <c r="B37">
        <v>1.7940884644624944</v>
      </c>
      <c r="C37">
        <f t="shared" si="917"/>
        <v>11.683635570981201</v>
      </c>
      <c r="E37">
        <f t="shared" si="918"/>
        <v>32</v>
      </c>
      <c r="F37">
        <f t="shared" si="915"/>
        <v>-0.75856528548183999</v>
      </c>
      <c r="G37">
        <f t="shared" si="919"/>
        <v>-1.10529814753207</v>
      </c>
    </row>
    <row r="38">
      <c r="A38">
        <f t="shared" si="916"/>
        <v>32</v>
      </c>
      <c r="B38">
        <v>-1.4306090977486423</v>
      </c>
      <c r="C38">
        <f t="shared" si="917"/>
        <v>9.3891181090456595</v>
      </c>
      <c r="E38">
        <f t="shared" si="918"/>
        <v>33</v>
      </c>
      <c r="F38">
        <f t="shared" si="915"/>
        <v>1.1332839584359999</v>
      </c>
      <c r="G38">
        <f t="shared" si="919"/>
        <v>1.1654270902041699</v>
      </c>
    </row>
    <row r="39">
      <c r="A39">
        <f t="shared" si="916"/>
        <v>33</v>
      </c>
      <c r="B39">
        <v>1.4224628570818738</v>
      </c>
      <c r="C39">
        <f t="shared" si="917"/>
        <v>11.280967352963501</v>
      </c>
      <c r="E39">
        <f t="shared" si="918"/>
        <v>34</v>
      </c>
      <c r="F39">
        <f t="shared" si="915"/>
        <v>-1.06998334019012</v>
      </c>
      <c r="G39">
        <f t="shared" si="919"/>
        <v>-1.35429551314402</v>
      </c>
    </row>
    <row r="40">
      <c r="A40">
        <f t="shared" si="916"/>
        <v>34</v>
      </c>
      <c r="B40">
        <v>-1.5344845213207501</v>
      </c>
      <c r="C40">
        <f t="shared" si="917"/>
        <v>9.0777000543373791</v>
      </c>
      <c r="E40">
        <f t="shared" si="918"/>
        <v>35</v>
      </c>
      <c r="F40">
        <f t="shared" si="915"/>
        <v>-0.72583131481729901</v>
      </c>
      <c r="G40">
        <f t="shared" si="919"/>
        <v>-0.58090897811420905</v>
      </c>
    </row>
    <row r="41">
      <c r="A41">
        <f t="shared" si="916"/>
        <v>35</v>
      </c>
      <c r="B41">
        <v>-0.23943486259011687</v>
      </c>
      <c r="C41">
        <f t="shared" si="917"/>
        <v>9.4218520797102006</v>
      </c>
      <c r="E41">
        <f t="shared" si="918"/>
        <v>36</v>
      </c>
      <c r="F41">
        <f t="shared" si="915"/>
        <v>0.62098737219870004</v>
      </c>
      <c r="G41">
        <f t="shared" si="919"/>
        <v>0.88357121210690814</v>
      </c>
    </row>
    <row r="42">
      <c r="A42">
        <f t="shared" si="916"/>
        <v>36</v>
      </c>
      <c r="B42">
        <v>1.1254873384110666</v>
      </c>
      <c r="C42">
        <f t="shared" si="917"/>
        <v>10.768670766726199</v>
      </c>
      <c r="E42">
        <f t="shared" si="918"/>
        <v>37</v>
      </c>
      <c r="F42">
        <f t="shared" si="915"/>
        <v>-0.102996968306899</v>
      </c>
      <c r="G42">
        <f t="shared" si="919"/>
        <v>-0.139651401744075</v>
      </c>
    </row>
    <row r="43">
      <c r="A43">
        <f t="shared" si="916"/>
        <v>37</v>
      </c>
      <c r="B43">
        <v>-0.26828564280553119</v>
      </c>
      <c r="C43">
        <f t="shared" si="917"/>
        <v>10.044686426220601</v>
      </c>
      <c r="E43">
        <f t="shared" si="918"/>
        <v>38</v>
      </c>
      <c r="F43">
        <f t="shared" si="915"/>
        <v>-0.64503585365542904</v>
      </c>
      <c r="G43">
        <f t="shared" si="919"/>
        <v>-0.63560181194783705</v>
      </c>
    </row>
    <row r="44">
      <c r="A44">
        <f t="shared" si="916"/>
        <v>38</v>
      </c>
      <c r="B44">
        <v>-0.5822900860434399</v>
      </c>
      <c r="C44">
        <f t="shared" si="917"/>
        <v>9.5026475408720703</v>
      </c>
      <c r="E44">
        <f t="shared" si="918"/>
        <v>39</v>
      </c>
      <c r="F44">
        <f t="shared" si="915"/>
        <v>1.8689517506824</v>
      </c>
      <c r="G44">
        <f t="shared" si="919"/>
        <v>2.0442602219158399</v>
      </c>
    </row>
    <row r="45">
      <c r="A45">
        <f t="shared" si="916"/>
        <v>39</v>
      </c>
      <c r="B45">
        <v>2.2483238493907365</v>
      </c>
      <c r="C45">
        <f t="shared" si="917"/>
        <v>12.0166351452099</v>
      </c>
      <c r="E45">
        <f t="shared" si="918"/>
        <v>40</v>
      </c>
      <c r="F45">
        <f t="shared" si="915"/>
        <v>-0.54010097006394997</v>
      </c>
      <c r="G45">
        <f t="shared" si="919"/>
        <v>-0.94949606794986996</v>
      </c>
    </row>
    <row r="46">
      <c r="A46">
        <f t="shared" si="916"/>
        <v>40</v>
      </c>
      <c r="B46">
        <v>-1.3543974073052196</v>
      </c>
      <c r="C46">
        <f t="shared" si="917"/>
        <v>9.6075824244635495</v>
      </c>
      <c r="E46">
        <f t="shared" si="918"/>
        <v>41</v>
      </c>
      <c r="F46">
        <f t="shared" si="915"/>
        <v>0.331115312082501</v>
      </c>
      <c r="G46">
        <f t="shared" si="919"/>
        <v>0.27496366461295602</v>
      </c>
    </row>
    <row r="47">
      <c r="A47">
        <f t="shared" si="916"/>
        <v>41</v>
      </c>
      <c r="B47">
        <v>0.48261152802448642</v>
      </c>
      <c r="C47">
        <f t="shared" si="917"/>
        <v>10.47879870661</v>
      </c>
      <c r="E47">
        <f t="shared" si="918"/>
        <v>42</v>
      </c>
      <c r="F47">
        <f t="shared" si="915"/>
        <v>-1.6537398409398999e-02</v>
      </c>
      <c r="G47">
        <f t="shared" si="919"/>
        <v>-0.131481047014365</v>
      </c>
    </row>
    <row r="48">
      <c r="A48">
        <f t="shared" si="916"/>
        <v>42</v>
      </c>
      <c r="B48">
        <v>-0.10749079290397742</v>
      </c>
      <c r="C48">
        <f t="shared" si="917"/>
        <v>10.1311459961181</v>
      </c>
      <c r="E48">
        <f t="shared" si="918"/>
        <v>43</v>
      </c>
      <c r="F48">
        <f t="shared" si="915"/>
        <v>-0.83743040143354897</v>
      </c>
      <c r="G48">
        <f t="shared" si="919"/>
        <v>-0.88895347963858895</v>
      </c>
    </row>
    <row r="49">
      <c r="A49">
        <f t="shared" si="916"/>
        <v>43</v>
      </c>
      <c r="B49">
        <v>-0.80304736276954691</v>
      </c>
      <c r="C49">
        <f t="shared" si="917"/>
        <v>9.3102529930939504</v>
      </c>
      <c r="E49">
        <f t="shared" si="918"/>
        <v>44</v>
      </c>
      <c r="F49">
        <f t="shared" si="915"/>
        <v>-0.19444593754757</v>
      </c>
      <c r="G49">
        <f t="shared" si="919"/>
        <v>2.1382584579519998e-03</v>
      </c>
    </row>
    <row r="50">
      <c r="A50">
        <f t="shared" si="916"/>
        <v>44</v>
      </c>
      <c r="B50">
        <v>0.2754508892602448</v>
      </c>
      <c r="C50">
        <f t="shared" si="917"/>
        <v>9.9532374569799291</v>
      </c>
      <c r="E50">
        <f t="shared" si="918"/>
        <v>45</v>
      </c>
      <c r="F50">
        <f t="shared" si="915"/>
        <v>-0.21560042049792999</v>
      </c>
      <c r="G50">
        <f t="shared" si="919"/>
        <v>-6.8532907659320005e-02</v>
      </c>
    </row>
    <row r="51">
      <c r="A51">
        <f t="shared" si="916"/>
        <v>45</v>
      </c>
      <c r="B51">
        <v>1.990693199567108e-02</v>
      </c>
      <c r="C51">
        <f t="shared" si="917"/>
        <v>9.9320829740295693</v>
      </c>
      <c r="E51">
        <f t="shared" si="918"/>
        <v>46</v>
      </c>
      <c r="F51">
        <f t="shared" si="915"/>
        <v>1.4874185849612001</v>
      </c>
      <c r="G51">
        <f t="shared" si="919"/>
        <v>1.6160038016634</v>
      </c>
    </row>
    <row r="52">
      <c r="A52">
        <f t="shared" si="916"/>
        <v>46</v>
      </c>
      <c r="B52">
        <v>1.6866252840670588</v>
      </c>
      <c r="C52">
        <f t="shared" si="917"/>
        <v>11.635101979488701</v>
      </c>
      <c r="E52">
        <f t="shared" si="918"/>
        <v>47</v>
      </c>
      <c r="F52">
        <f t="shared" si="915"/>
        <v>0.28055942787080002</v>
      </c>
      <c r="G52">
        <f t="shared" si="919"/>
        <v>-5.057868509040999e-02</v>
      </c>
    </row>
    <row r="53">
      <c r="A53">
        <f t="shared" si="916"/>
        <v>47</v>
      </c>
      <c r="B53">
        <v>-0.37900350643042596</v>
      </c>
      <c r="C53">
        <f t="shared" si="917"/>
        <v>10.4282428223983</v>
      </c>
      <c r="E53">
        <f t="shared" si="918"/>
        <v>48</v>
      </c>
      <c r="F53">
        <f t="shared" si="915"/>
        <v>-0.45345270877767002</v>
      </c>
      <c r="G53">
        <f t="shared" si="919"/>
        <v>-0.68874869167766894</v>
      </c>
    </row>
    <row r="54">
      <c r="A54">
        <f t="shared" si="916"/>
        <v>48</v>
      </c>
      <c r="B54">
        <v>-0.68133999121505795</v>
      </c>
      <c r="C54">
        <f t="shared" si="917"/>
        <v>9.6942306857498295</v>
      </c>
      <c r="E54">
        <f t="shared" si="918"/>
        <v>49</v>
      </c>
      <c r="F54">
        <f t="shared" si="915"/>
        <v>2.1353357849299995e-02</v>
      </c>
      <c r="G54">
        <f t="shared" si="919"/>
        <v>2.6937473152007004e-02</v>
      </c>
    </row>
    <row r="55">
      <c r="A55">
        <f t="shared" si="916"/>
        <v>49</v>
      </c>
      <c r="B55">
        <v>0.24680727410891504</v>
      </c>
      <c r="C55">
        <f t="shared" si="917"/>
        <v>10.169036752376799</v>
      </c>
      <c r="E55">
        <f t="shared" si="918"/>
        <v>50</v>
      </c>
      <c r="F55">
        <f t="shared" si="915"/>
        <v>0.33897231806259998</v>
      </c>
      <c r="G55">
        <f t="shared" si="919"/>
        <v>0.33603646033131801</v>
      </c>
    </row>
    <row r="56">
      <c r="A56">
        <f t="shared" si="916"/>
        <v>50</v>
      </c>
      <c r="B56">
        <v>0.41769144074806713</v>
      </c>
      <c r="C56">
        <f t="shared" si="917"/>
        <v>10.4866557125901</v>
      </c>
      <c r="E56">
        <f t="shared" si="918"/>
        <v>51</v>
      </c>
      <c r="F56">
        <f t="shared" si="915"/>
        <v>0.50846624552540098</v>
      </c>
      <c r="G56">
        <f t="shared" si="919"/>
        <v>0.41732328094819698</v>
      </c>
    </row>
    <row r="57">
      <c r="A57">
        <f t="shared" si="916"/>
        <v>51</v>
      </c>
      <c r="B57">
        <v>0.39902892938942136</v>
      </c>
      <c r="C57">
        <f t="shared" si="917"/>
        <v>10.656149640052901</v>
      </c>
      <c r="E57">
        <f t="shared" si="918"/>
        <v>52</v>
      </c>
      <c r="F57">
        <f t="shared" si="915"/>
        <v>-1.8365827911498999e-02</v>
      </c>
      <c r="G57">
        <f t="shared" si="919"/>
        <v>-0.19726578515047599</v>
      </c>
    </row>
    <row r="58">
      <c r="A58">
        <f t="shared" si="916"/>
        <v>52</v>
      </c>
      <c r="B58">
        <v>-0.25018139554307461</v>
      </c>
      <c r="C58">
        <f t="shared" si="917"/>
        <v>10.129317566616001</v>
      </c>
      <c r="E58">
        <f t="shared" si="918"/>
        <v>53</v>
      </c>
      <c r="F58">
        <f t="shared" si="915"/>
        <v>-1.1813776421093001</v>
      </c>
      <c r="G58">
        <f t="shared" si="919"/>
        <v>-1.26352036241274</v>
      </c>
    </row>
    <row r="59">
      <c r="A59">
        <f t="shared" si="916"/>
        <v>53</v>
      </c>
      <c r="B59">
        <v>-1.1742528233216154</v>
      </c>
      <c r="C59">
        <f t="shared" si="917"/>
        <v>8.9663057524182008</v>
      </c>
      <c r="E59">
        <f t="shared" si="918"/>
        <v>54</v>
      </c>
      <c r="F59">
        <f t="shared" si="915"/>
        <v>-2.0409319555350098</v>
      </c>
      <c r="G59">
        <f t="shared" si="919"/>
        <v>-1.76820697887208</v>
      </c>
    </row>
    <row r="60">
      <c r="A60">
        <f t="shared" si="916"/>
        <v>54</v>
      </c>
      <c r="B60">
        <v>-1.404513152364584</v>
      </c>
      <c r="C60">
        <f t="shared" si="917"/>
        <v>8.1067514389924895</v>
      </c>
      <c r="E60">
        <f t="shared" si="918"/>
        <v>55</v>
      </c>
      <c r="F60">
        <f t="shared" si="915"/>
        <v>-1.4737846366759899</v>
      </c>
      <c r="G60">
        <f t="shared" si="919"/>
        <v>-0.8009818644916461</v>
      </c>
    </row>
    <row r="61">
      <c r="A61">
        <f t="shared" si="916"/>
        <v>55</v>
      </c>
      <c r="B61">
        <v>-0.28172987991615123</v>
      </c>
      <c r="C61">
        <f t="shared" si="917"/>
        <v>8.6738987578515108</v>
      </c>
      <c r="E61">
        <f t="shared" si="918"/>
        <v>56</v>
      </c>
      <c r="F61">
        <f t="shared" si="915"/>
        <v>-1.40782127076823</v>
      </c>
      <c r="G61">
        <f t="shared" si="919"/>
        <v>-0.69055639833432003</v>
      </c>
    </row>
    <row r="62">
      <c r="A62">
        <f t="shared" si="916"/>
        <v>56</v>
      </c>
      <c r="B62">
        <v>-0.38821298272001858</v>
      </c>
      <c r="C62">
        <f t="shared" si="917"/>
        <v>8.73986212375927</v>
      </c>
      <c r="E62">
        <f t="shared" si="918"/>
        <v>57</v>
      </c>
      <c r="F62">
        <f t="shared" si="915"/>
        <v>-1.38370729699943</v>
      </c>
      <c r="G62">
        <f t="shared" si="919"/>
        <v>-0.66227778484864797</v>
      </c>
    </row>
    <row r="63">
      <c r="A63">
        <f t="shared" si="916"/>
        <v>57</v>
      </c>
      <c r="B63">
        <v>-0.43156998564742921</v>
      </c>
      <c r="C63">
        <f t="shared" si="917"/>
        <v>8.7639760975280705</v>
      </c>
      <c r="E63">
        <f t="shared" si="918"/>
        <v>58</v>
      </c>
      <c r="F63">
        <f t="shared" si="915"/>
        <v>0.45994887572339999</v>
      </c>
      <c r="G63">
        <f t="shared" si="919"/>
        <v>1.17702155613189</v>
      </c>
    </row>
    <row r="64">
      <c r="A64">
        <f t="shared" si="916"/>
        <v>58</v>
      </c>
      <c r="B64">
        <v>1.386535004851783</v>
      </c>
      <c r="C64">
        <f t="shared" si="917"/>
        <v>10.6076322702509</v>
      </c>
      <c r="E64">
        <f t="shared" si="918"/>
        <v>59</v>
      </c>
      <c r="F64">
        <f t="shared" si="915"/>
        <v>-1.3013990284157499</v>
      </c>
      <c r="G64">
        <f t="shared" si="919"/>
        <v>-1.0744022889132101</v>
      </c>
    </row>
    <row r="65">
      <c r="A65">
        <f t="shared" si="916"/>
        <v>59</v>
      </c>
      <c r="B65">
        <v>-1.3017512220934879</v>
      </c>
      <c r="C65">
        <f t="shared" si="917"/>
        <v>8.8462843661117496</v>
      </c>
      <c r="E65">
        <f t="shared" si="918"/>
        <v>60</v>
      </c>
      <c r="F65">
        <f t="shared" si="915"/>
        <v>-1.95025292244871</v>
      </c>
      <c r="G65">
        <f t="shared" si="919"/>
        <v>-1.49541977338095</v>
      </c>
    </row>
    <row r="66">
      <c r="A66">
        <f t="shared" si="916"/>
        <v>60</v>
      </c>
      <c r="B66">
        <v>-1.2553188286181356</v>
      </c>
      <c r="C66">
        <f t="shared" si="917"/>
        <v>8.1974304720787892</v>
      </c>
      <c r="E66">
        <f t="shared" si="918"/>
        <v>61</v>
      </c>
      <c r="F66">
        <f t="shared" si="915"/>
        <v>-0.44721558373411902</v>
      </c>
      <c r="G66">
        <f t="shared" si="919"/>
        <v>0.290151141257462</v>
      </c>
    </row>
    <row r="67">
      <c r="A67">
        <f t="shared" si="916"/>
        <v>61</v>
      </c>
      <c r="B67">
        <v>0.71120271461460161</v>
      </c>
      <c r="C67">
        <f t="shared" si="917"/>
        <v>9.7004678107933806</v>
      </c>
      <c r="E67">
        <f t="shared" si="918"/>
        <v>62</v>
      </c>
      <c r="F67">
        <f t="shared" si="915"/>
        <v>-0.64887493150125897</v>
      </c>
      <c r="G67">
        <f t="shared" si="919"/>
        <v>-0.17191112877030701</v>
      </c>
    </row>
    <row r="68">
      <c r="A68">
        <f t="shared" si="916"/>
        <v>62</v>
      </c>
      <c r="B68">
        <v>-0.14927846160621394</v>
      </c>
      <c r="C68">
        <f t="shared" si="917"/>
        <v>9.4988084630262399</v>
      </c>
      <c r="E68">
        <f t="shared" si="918"/>
        <v>63</v>
      </c>
      <c r="F68">
        <f t="shared" si="915"/>
        <v>-0.44729761558890901</v>
      </c>
      <c r="G68">
        <f t="shared" si="919"/>
        <v>-4.3601524494974002e-02</v>
      </c>
    </row>
    <row r="69">
      <c r="A69">
        <f t="shared" si="916"/>
        <v>63</v>
      </c>
      <c r="B69">
        <v>2.1364162498976987e-02</v>
      </c>
      <c r="C69">
        <f t="shared" si="917"/>
        <v>9.7003857789385908</v>
      </c>
      <c r="E69">
        <f t="shared" si="918"/>
        <v>64</v>
      </c>
      <c r="F69">
        <f t="shared" si="915"/>
        <v>-0.32805540058906002</v>
      </c>
      <c r="G69">
        <f t="shared" si="919"/>
        <v>-1.3342348396413e-02</v>
      </c>
    </row>
    <row r="70">
      <c r="A70">
        <f t="shared" si="916"/>
        <v>64</v>
      </c>
      <c r="B70">
        <v>3.3630781181214632e-02</v>
      </c>
      <c r="C70">
        <f t="shared" si="917"/>
        <v>9.8196279939384397</v>
      </c>
      <c r="E70">
        <f t="shared" si="918"/>
        <v>65</v>
      </c>
      <c r="F70">
        <f t="shared" si="915"/>
        <v>2.2093621907073002</v>
      </c>
      <c r="G70">
        <f t="shared" si="919"/>
        <v>2.44924092359771</v>
      </c>
    </row>
    <row r="71">
      <c r="A71">
        <f t="shared" si="916"/>
        <v>65</v>
      </c>
      <c r="B71">
        <v>2.4900321457140446</v>
      </c>
      <c r="C71">
        <f t="shared" si="917"/>
        <v>12.3570455852348</v>
      </c>
      <c r="E71">
        <f t="shared" si="918"/>
        <v>66</v>
      </c>
      <c r="F71">
        <f t="shared" si="915"/>
        <v>0.77592101957370097</v>
      </c>
      <c r="G71">
        <f t="shared" si="919"/>
        <v>0.30783226387118101</v>
      </c>
    </row>
    <row r="72">
      <c r="A72">
        <f t="shared" si="916"/>
        <v>66</v>
      </c>
      <c r="B72">
        <v>-0.22832106642044353</v>
      </c>
      <c r="C72">
        <f t="shared" si="917"/>
        <v>10.923604414101201</v>
      </c>
      <c r="E72">
        <f t="shared" si="918"/>
        <v>67</v>
      </c>
      <c r="F72">
        <f t="shared" si="915"/>
        <v>-0.44691754792084898</v>
      </c>
      <c r="G72">
        <f t="shared" si="919"/>
        <v>-0.87992253486586391</v>
      </c>
    </row>
    <row r="73">
      <c r="A73">
        <f t="shared" si="916"/>
        <v>67</v>
      </c>
      <c r="B73">
        <v>-0.99142145654823755</v>
      </c>
      <c r="C73">
        <f t="shared" si="917"/>
        <v>9.7007658466066502</v>
      </c>
      <c r="E73">
        <f t="shared" si="918"/>
        <v>68</v>
      </c>
      <c r="F73">
        <f t="shared" ref="F73:F98" si="920">C74-K$7</f>
        <v>0.126477670186601</v>
      </c>
      <c r="G73">
        <f t="shared" si="919"/>
        <v>3.4181251279607999e-02</v>
      </c>
    </row>
    <row r="74">
      <c r="A74">
        <f t="shared" si="916"/>
        <v>68</v>
      </c>
      <c r="B74">
        <v>0.28534068077982994</v>
      </c>
      <c r="C74">
        <f t="shared" si="917"/>
        <v>10.2741610647141</v>
      </c>
      <c r="E74">
        <f t="shared" si="918"/>
        <v>69</v>
      </c>
      <c r="F74">
        <f t="shared" si="920"/>
        <v>-0.39160252097144999</v>
      </c>
      <c r="G74">
        <f t="shared" si="919"/>
        <v>-0.46996321538216701</v>
      </c>
    </row>
    <row r="75">
      <c r="A75">
        <f t="shared" ref="A75:A100" si="921">A74+1</f>
        <v>69</v>
      </c>
      <c r="B75">
        <v>-0.37876373558789128</v>
      </c>
      <c r="C75">
        <f t="shared" ref="C75:C99" si="922">3+0.7*C74+B75-0.2*B74</f>
        <v>9.7560808735560496</v>
      </c>
      <c r="E75">
        <f t="shared" ref="E75:E100" si="923">E74+1</f>
        <v>70</v>
      </c>
      <c r="F75">
        <f t="shared" si="920"/>
        <v>-0.85995155247587896</v>
      </c>
      <c r="G75">
        <f t="shared" ref="G75:G99" si="924">F75-SUMPRODUCT(F74,J$6)-SUMPRODUCT(G74,K$6)</f>
        <v>-0.79441561628591895</v>
      </c>
    </row>
    <row r="76">
      <c r="A76">
        <f t="shared" si="921"/>
        <v>70</v>
      </c>
      <c r="B76">
        <v>-0.6172775165552018</v>
      </c>
      <c r="C76">
        <f t="shared" si="922"/>
        <v>9.2877318420516204</v>
      </c>
      <c r="E76">
        <f t="shared" si="923"/>
        <v>71</v>
      </c>
      <c r="F76">
        <f t="shared" si="920"/>
        <v>-1.3528756976217</v>
      </c>
      <c r="G76">
        <f t="shared" si="924"/>
        <v>-1.0934021128004101</v>
      </c>
    </row>
    <row r="77">
      <c r="A77">
        <f t="shared" si="921"/>
        <v>71</v>
      </c>
      <c r="B77">
        <v>-0.83006009584136975</v>
      </c>
      <c r="C77">
        <f t="shared" si="922"/>
        <v>8.7948076969057993</v>
      </c>
      <c r="E77">
        <f t="shared" si="923"/>
        <v>72</v>
      </c>
      <c r="F77">
        <f t="shared" si="920"/>
        <v>-0.19551744926982001</v>
      </c>
      <c r="G77">
        <f t="shared" si="924"/>
        <v>0.28873424621402799</v>
      </c>
    </row>
    <row r="78">
      <c r="A78">
        <f t="shared" si="921"/>
        <v>72</v>
      </c>
      <c r="B78">
        <v>0.62978853825533521</v>
      </c>
      <c r="C78">
        <f t="shared" si="922"/>
        <v>9.9521659452576792</v>
      </c>
      <c r="E78">
        <f t="shared" si="923"/>
        <v>73</v>
      </c>
      <c r="F78">
        <f t="shared" si="920"/>
        <v>-1.0011656012439201</v>
      </c>
      <c r="G78">
        <f t="shared" si="924"/>
        <v>-0.71391451845584397</v>
      </c>
    </row>
    <row r="79">
      <c r="A79">
        <f t="shared" si="921"/>
        <v>73</v>
      </c>
      <c r="B79">
        <v>-0.694040660745746</v>
      </c>
      <c r="C79">
        <f t="shared" si="922"/>
        <v>9.1465177932835804</v>
      </c>
      <c r="E79">
        <f t="shared" si="923"/>
        <v>74</v>
      </c>
      <c r="F79">
        <f t="shared" si="920"/>
        <v>-1.7356105717179999</v>
      </c>
      <c r="G79">
        <f t="shared" si="924"/>
        <v>-1.33093644421415</v>
      </c>
    </row>
    <row r="80">
      <c r="A80">
        <f t="shared" si="921"/>
        <v>74</v>
      </c>
      <c r="B80">
        <v>-1.129297764638155</v>
      </c>
      <c r="C80">
        <f t="shared" si="922"/>
        <v>8.4120728228095007</v>
      </c>
      <c r="E80">
        <f t="shared" si="923"/>
        <v>75</v>
      </c>
      <c r="F80">
        <f t="shared" si="920"/>
        <v>-0.42383605390272894</v>
      </c>
      <c r="G80">
        <f t="shared" si="924"/>
        <v>0.23232807332741504</v>
      </c>
    </row>
    <row r="81">
      <c r="A81">
        <f t="shared" si="921"/>
        <v>75</v>
      </c>
      <c r="B81">
        <v>0.6095368117304879</v>
      </c>
      <c r="C81">
        <f t="shared" si="922"/>
        <v>9.7238473406247703</v>
      </c>
      <c r="E81">
        <f t="shared" si="923"/>
        <v>76</v>
      </c>
      <c r="F81">
        <f t="shared" si="920"/>
        <v>-1.6988946411668899</v>
      </c>
      <c r="G81">
        <f t="shared" si="924"/>
        <v>-1.2676095312250399</v>
      </c>
    </row>
    <row r="82">
      <c r="A82">
        <f t="shared" si="921"/>
        <v>76</v>
      </c>
      <c r="B82">
        <v>-1.2359970227306327</v>
      </c>
      <c r="C82">
        <f t="shared" si="922"/>
        <v>8.4487887533606099</v>
      </c>
      <c r="E82">
        <f t="shared" si="923"/>
        <v>77</v>
      </c>
      <c r="F82">
        <f t="shared" si="920"/>
        <v>-0.83851376654159004</v>
      </c>
      <c r="G82">
        <f t="shared" si="924"/>
        <v>-0.17912558415402899</v>
      </c>
    </row>
    <row r="83">
      <c r="A83">
        <f t="shared" si="921"/>
        <v>77</v>
      </c>
      <c r="B83">
        <v>0.14781809608735161</v>
      </c>
      <c r="C83">
        <f t="shared" si="922"/>
        <v>9.3091696279859093</v>
      </c>
      <c r="E83">
        <f t="shared" si="923"/>
        <v>78</v>
      </c>
      <c r="F83">
        <f t="shared" si="920"/>
        <v>-0.51858832229510898</v>
      </c>
      <c r="G83">
        <f t="shared" si="924"/>
        <v>2.4016718082486999e-02</v>
      </c>
    </row>
    <row r="84">
      <c r="A84">
        <f t="shared" si="921"/>
        <v>78</v>
      </c>
      <c r="B84">
        <v>0.14223995185972241</v>
      </c>
      <c r="C84">
        <f t="shared" si="922"/>
        <v>9.6290950722323903</v>
      </c>
      <c r="E84">
        <f t="shared" si="923"/>
        <v>79</v>
      </c>
      <c r="F84">
        <f t="shared" si="920"/>
        <v>0.35107094759410101</v>
      </c>
      <c r="G84">
        <f t="shared" si="924"/>
        <v>0.75220731312962497</v>
      </c>
    </row>
    <row r="85">
      <c r="A85">
        <f t="shared" si="921"/>
        <v>79</v>
      </c>
      <c r="B85">
        <v>0.78683578193082893</v>
      </c>
      <c r="C85">
        <f t="shared" si="922"/>
        <v>10.4987543421216</v>
      </c>
      <c r="E85">
        <f t="shared" si="923"/>
        <v>80</v>
      </c>
      <c r="F85">
        <f t="shared" si="920"/>
        <v>-2.0131273599017199</v>
      </c>
      <c r="G85">
        <f t="shared" si="924"/>
        <v>-1.9109619127525299</v>
      </c>
    </row>
    <row r="86">
      <c r="A86">
        <f t="shared" si="921"/>
        <v>80</v>
      </c>
      <c r="B86">
        <v>-2.0572048484731567</v>
      </c>
      <c r="C86">
        <f t="shared" si="922"/>
        <v>8.1345560346257795</v>
      </c>
      <c r="E86">
        <f t="shared" si="923"/>
        <v>81</v>
      </c>
      <c r="F86">
        <f t="shared" si="920"/>
        <v>-0.99249983216424886</v>
      </c>
      <c r="G86">
        <f t="shared" si="924"/>
        <v>-0.41000346096416596</v>
      </c>
    </row>
    <row r="87">
      <c r="A87">
        <f t="shared" si="921"/>
        <v>81</v>
      </c>
      <c r="B87">
        <v>4.9553368430570136e-02</v>
      </c>
      <c r="C87">
        <f t="shared" si="922"/>
        <v>9.1551835623632503</v>
      </c>
      <c r="E87">
        <f t="shared" si="923"/>
        <v>82</v>
      </c>
      <c r="F87">
        <f t="shared" si="920"/>
        <v>-2.1555979544536301</v>
      </c>
      <c r="G87">
        <f t="shared" si="924"/>
        <v>-1.6096321350176599</v>
      </c>
    </row>
    <row r="88">
      <c r="A88">
        <f t="shared" si="921"/>
        <v>82</v>
      </c>
      <c r="B88">
        <v>-1.4066323798943019</v>
      </c>
      <c r="C88">
        <f t="shared" si="922"/>
        <v>7.9920854400738701</v>
      </c>
      <c r="E88">
        <f t="shared" si="923"/>
        <v>83</v>
      </c>
      <c r="F88">
        <f t="shared" si="920"/>
        <v>0.29184360214190103</v>
      </c>
      <c r="G88">
        <f t="shared" si="924"/>
        <v>1.12787874146698</v>
      </c>
    </row>
    <row r="89">
      <c r="A89">
        <f t="shared" si="921"/>
        <v>83</v>
      </c>
      <c r="B89">
        <v>1.5637407126388041</v>
      </c>
      <c r="C89">
        <f t="shared" si="922"/>
        <v>10.4395269966694</v>
      </c>
      <c r="E89">
        <f t="shared" si="923"/>
        <v>84</v>
      </c>
      <c r="F89">
        <f t="shared" si="920"/>
        <v>1.0275693338944001</v>
      </c>
      <c r="G89">
        <f t="shared" si="924"/>
        <v>1.35691263853706</v>
      </c>
    </row>
    <row r="90">
      <c r="A90">
        <f t="shared" si="921"/>
        <v>84</v>
      </c>
      <c r="B90">
        <v>1.1803319732811373</v>
      </c>
      <c r="C90">
        <f t="shared" si="922"/>
        <v>11.175252728421899</v>
      </c>
      <c r="E90">
        <f t="shared" si="923"/>
        <v>85</v>
      </c>
      <c r="F90">
        <f t="shared" si="920"/>
        <v>-0.226179905464029</v>
      </c>
      <c r="G90">
        <f t="shared" si="924"/>
        <v>-0.337976827417309</v>
      </c>
    </row>
    <row r="91">
      <c r="A91">
        <f t="shared" si="921"/>
        <v>85</v>
      </c>
      <c r="B91">
        <v>-0.6651070261756501</v>
      </c>
      <c r="C91">
        <f t="shared" si="922"/>
        <v>9.9215034890634701</v>
      </c>
      <c r="E91">
        <f t="shared" si="923"/>
        <v>86</v>
      </c>
      <c r="F91">
        <f t="shared" si="920"/>
        <v>0.50533546939760099</v>
      </c>
      <c r="G91">
        <f t="shared" si="924"/>
        <v>0.51082842237653103</v>
      </c>
    </row>
    <row r="92">
      <c r="A92">
        <f t="shared" si="921"/>
        <v>86</v>
      </c>
      <c r="B92">
        <v>0.57494501634557915</v>
      </c>
      <c r="C92">
        <f t="shared" si="922"/>
        <v>10.6530188639251</v>
      </c>
      <c r="E92">
        <f t="shared" si="923"/>
        <v>87</v>
      </c>
      <c r="F92">
        <f t="shared" si="920"/>
        <v>0.153281641432301</v>
      </c>
      <c r="G92">
        <f t="shared" si="924"/>
        <v>2.2206789860550996e-02</v>
      </c>
    </row>
    <row r="93">
      <c r="A93">
        <f t="shared" si="921"/>
        <v>87</v>
      </c>
      <c r="B93">
        <v>-4.1159165518735163e-02</v>
      </c>
      <c r="C93">
        <f t="shared" si="922"/>
        <v>10.3009650359598</v>
      </c>
      <c r="E93">
        <f t="shared" si="923"/>
        <v>88</v>
      </c>
      <c r="F93">
        <f t="shared" si="920"/>
        <v>-0.82497175248695986</v>
      </c>
      <c r="G93">
        <f t="shared" si="924"/>
        <v>-0.92928553669953984</v>
      </c>
    </row>
    <row r="94">
      <c r="A94">
        <f t="shared" si="921"/>
        <v>88</v>
      </c>
      <c r="B94">
        <v>-0.89619571623511651</v>
      </c>
      <c r="C94">
        <f t="shared" si="922"/>
        <v>9.3227116420405398</v>
      </c>
      <c r="E94">
        <f t="shared" si="923"/>
        <v>89</v>
      </c>
      <c r="F94">
        <f t="shared" si="920"/>
        <v>1.0608135034545001</v>
      </c>
      <c r="G94">
        <f t="shared" si="924"/>
        <v>1.22842683720144</v>
      </c>
    </row>
    <row r="95">
      <c r="A95">
        <f t="shared" si="921"/>
        <v>89</v>
      </c>
      <c r="B95">
        <v>1.503359605306662</v>
      </c>
      <c r="C95">
        <f t="shared" si="922"/>
        <v>11.208496897982</v>
      </c>
      <c r="E95">
        <f t="shared" si="923"/>
        <v>90</v>
      </c>
      <c r="F95">
        <f t="shared" si="920"/>
        <v>-0.31397114331242898</v>
      </c>
      <c r="G95">
        <f t="shared" si="924"/>
        <v>-0.51322011082561902</v>
      </c>
    </row>
    <row r="96">
      <c r="A96">
        <f t="shared" si="921"/>
        <v>90</v>
      </c>
      <c r="B96">
        <v>-0.71156365631100771</v>
      </c>
      <c r="C96">
        <f t="shared" si="922"/>
        <v>9.8337122512150703</v>
      </c>
      <c r="E96">
        <f t="shared" si="923"/>
        <v>91</v>
      </c>
      <c r="F96">
        <f t="shared" si="920"/>
        <v>0.86154550983960099</v>
      </c>
      <c r="G96">
        <f t="shared" si="924"/>
        <v>0.84774386915913402</v>
      </c>
    </row>
    <row r="97">
      <c r="A97">
        <f t="shared" si="921"/>
        <v>91</v>
      </c>
      <c r="B97">
        <v>0.98331759725438272</v>
      </c>
      <c r="C97">
        <f t="shared" si="922"/>
        <v>11.009228904367101</v>
      </c>
      <c r="E97">
        <f t="shared" si="923"/>
        <v>92</v>
      </c>
      <c r="F97">
        <f t="shared" si="920"/>
        <v>-0.47547173026833001</v>
      </c>
      <c r="G97">
        <f t="shared" si="924"/>
        <v>-0.71020748953576196</v>
      </c>
    </row>
    <row r="98">
      <c r="A98">
        <f t="shared" si="921"/>
        <v>92</v>
      </c>
      <c r="B98">
        <v>-0.83758504934694744</v>
      </c>
      <c r="C98">
        <f t="shared" si="922"/>
        <v>9.6722116642591693</v>
      </c>
      <c r="E98">
        <f t="shared" si="923"/>
        <v>93</v>
      </c>
      <c r="F98">
        <f t="shared" si="920"/>
        <v>-2.1256282291012298</v>
      </c>
      <c r="G98">
        <f t="shared" si="924"/>
        <v>-2.1139439287866999</v>
      </c>
    </row>
    <row r="99">
      <c r="A99">
        <f t="shared" si="921"/>
        <v>93</v>
      </c>
      <c r="B99">
        <v>-1.916010009424536</v>
      </c>
      <c r="C99">
        <f t="shared" si="922"/>
        <v>8.02205516542627</v>
      </c>
      <c r="E99">
        <f t="shared" si="923"/>
        <v>94</v>
      </c>
      <c r="F99">
        <f t="shared" ref="F99:F110" si="925">C100-K$7</f>
        <v>-1.0475229078192101</v>
      </c>
      <c r="G99">
        <f t="shared" si="924"/>
        <v>-0.47925440589293</v>
      </c>
    </row>
    <row r="100">
      <c r="A100">
        <f t="shared" si="921"/>
        <v>94</v>
      </c>
      <c r="B100">
        <v>0.10151986902498664</v>
      </c>
      <c r="C100">
        <f>3+0.7*C99+B100-0.2*B99</f>
        <v>9.1001604867082904</v>
      </c>
      <c r="E100">
        <f t="shared" si="923"/>
        <v>95</v>
      </c>
      <c r="F100">
        <f t="shared" si="925"/>
        <v>0.14588017530440001</v>
      </c>
      <c r="G100">
        <f>F100-SUMPRODUCT(F99,J$6)-SUMPRODUCT(G99,K$6)</f>
        <v>0.69948947903412795</v>
      </c>
    </row>
    <row r="101">
      <c r="A101">
        <f t="shared" ref="A101:A111" si="926">A100+1</f>
        <v>95</v>
      </c>
      <c r="B101">
        <v>0.94375520294114756</v>
      </c>
      <c r="C101">
        <f t="shared" ref="C101:C111" si="927">3+0.7*C100+B101-0.2*B100</f>
        <v>10.2935635698319</v>
      </c>
      <c r="E101">
        <f t="shared" ref="E101:E110" si="928">E100+1</f>
        <v>96</v>
      </c>
      <c r="F101">
        <f t="shared" si="925"/>
        <v>0.72645449782890004</v>
      </c>
      <c r="G101">
        <f t="shared" ref="G101:G110" si="929">F101-SUMPRODUCT(F100,J$6)-SUMPRODUCT(G100,K$6)</f>
        <v>0.95707885410480598</v>
      </c>
    </row>
    <row r="102">
      <c r="A102">
        <f t="shared" si="926"/>
        <v>96</v>
      </c>
      <c r="B102">
        <v>0.85739443406232341</v>
      </c>
      <c r="C102">
        <f t="shared" si="927"/>
        <v>10.8741378923564</v>
      </c>
      <c r="E102">
        <f t="shared" si="928"/>
        <v>97</v>
      </c>
      <c r="F102">
        <f t="shared" si="925"/>
        <v>0.90090553585449995</v>
      </c>
      <c r="G102">
        <f t="shared" si="929"/>
        <v>0.82079460681808103</v>
      </c>
    </row>
    <row r="103">
      <c r="A103">
        <f t="shared" si="926"/>
        <v>97</v>
      </c>
      <c r="B103">
        <v>0.60817129254501401</v>
      </c>
      <c r="C103">
        <f t="shared" si="927"/>
        <v>11.048588930382</v>
      </c>
      <c r="E103">
        <f t="shared" si="928"/>
        <v>98</v>
      </c>
      <c r="F103">
        <f t="shared" si="925"/>
        <v>0.22942021387830097</v>
      </c>
      <c r="G103">
        <f t="shared" si="929"/>
        <v>-4.7980774096758994e-02</v>
      </c>
    </row>
    <row r="104">
      <c r="A104">
        <f t="shared" si="926"/>
        <v>98</v>
      </c>
      <c r="B104">
        <v>-0.23527438435259729</v>
      </c>
      <c r="C104">
        <f t="shared" si="927"/>
        <v>10.3771036084058</v>
      </c>
      <c r="E104">
        <f t="shared" si="928"/>
        <v>99</v>
      </c>
      <c r="F104">
        <f t="shared" si="925"/>
        <v>0.95305001194790184</v>
      </c>
      <c r="G104">
        <f t="shared" si="929"/>
        <v>0.757422673100689</v>
      </c>
    </row>
    <row r="105">
      <c r="A105">
        <f t="shared" si="926"/>
        <v>99</v>
      </c>
      <c r="B105">
        <v>0.78970600372079691</v>
      </c>
      <c r="C105">
        <f t="shared" si="927"/>
        <v>11.100733406475401</v>
      </c>
      <c r="E105">
        <f t="shared" si="928"/>
        <v>100</v>
      </c>
      <c r="F105">
        <f t="shared" si="925"/>
        <v>-0.59122670475604999</v>
      </c>
      <c r="G105">
        <f t="shared" si="929"/>
        <v>-0.93860722515435602</v>
      </c>
    </row>
    <row r="106">
      <c r="A106">
        <f t="shared" si="926"/>
        <v>100</v>
      </c>
      <c r="B106">
        <v>-1.0561154940171853</v>
      </c>
      <c r="C106">
        <f t="shared" si="927"/>
        <v>9.5564566897714496</v>
      </c>
      <c r="E106">
        <f t="shared" si="928"/>
        <v>101</v>
      </c>
      <c r="F106">
        <f t="shared" si="925"/>
        <v>-2.10713823296e-02</v>
      </c>
      <c r="G106">
        <f t="shared" si="929"/>
        <v>-3.3532418949606006e-02</v>
      </c>
    </row>
    <row r="107">
      <c r="A107">
        <f t="shared" si="926"/>
        <v>101</v>
      </c>
      <c r="B107">
        <v>0.22586923055446756</v>
      </c>
      <c r="C107">
        <f t="shared" si="927"/>
        <v>10.126612012197899</v>
      </c>
      <c r="E107">
        <f t="shared" si="928"/>
        <v>102</v>
      </c>
      <c r="F107">
        <f t="shared" si="925"/>
        <v>0.47097340519120101</v>
      </c>
      <c r="G107">
        <f t="shared" si="929"/>
        <v>0.47049021234842903</v>
      </c>
    </row>
    <row r="108">
      <c r="A108">
        <f t="shared" si="926"/>
        <v>102</v>
      </c>
      <c r="B108">
        <v>0.57520223729110798</v>
      </c>
      <c r="C108">
        <f t="shared" si="927"/>
        <v>10.6186567997187</v>
      </c>
      <c r="E108">
        <f t="shared" si="928"/>
        <v>103</v>
      </c>
      <c r="F108">
        <f t="shared" si="925"/>
        <v>1.2216942529862</v>
      </c>
      <c r="G108">
        <f t="shared" si="929"/>
        <v>1.09680759528975</v>
      </c>
    </row>
    <row r="109">
      <c r="A109">
        <f t="shared" si="926"/>
        <v>103</v>
      </c>
      <c r="B109">
        <v>1.0513583351687668</v>
      </c>
      <c r="C109">
        <f t="shared" si="927"/>
        <v>11.3693776475137</v>
      </c>
      <c r="E109">
        <f t="shared" si="928"/>
        <v>104</v>
      </c>
      <c r="F109">
        <f t="shared" si="925"/>
        <v>0.61375882570790097</v>
      </c>
      <c r="G109">
        <f t="shared" si="929"/>
        <v>0.22967970691392198</v>
      </c>
    </row>
    <row r="110">
      <c r="A110">
        <f t="shared" si="926"/>
        <v>104</v>
      </c>
      <c r="B110">
        <v>1.3149534009556495e-02</v>
      </c>
      <c r="C110">
        <f t="shared" si="927"/>
        <v>10.7614422202354</v>
      </c>
      <c r="E110" s="14">
        <f t="shared" si="928"/>
        <v>105</v>
      </c>
      <c r="F110" s="14">
        <f t="shared" si="925"/>
        <v>1.8070816609555</v>
      </c>
      <c r="G110" s="14">
        <f t="shared" si="929"/>
        <v>1.45785185445682</v>
      </c>
    </row>
    <row r="111">
      <c r="A111">
        <f t="shared" si="926"/>
        <v>105</v>
      </c>
      <c r="B111" s="14">
        <v>1.4243854081201066</v>
      </c>
      <c r="C111" s="14">
        <f t="shared" si="927"/>
        <v>11.954765055483</v>
      </c>
    </row>
    <row r="113">
      <c r="B113" s="20" t="s">
        <v>576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7" zoomScale="100" workbookViewId="0">
      <selection activeCell="F8" activeCellId="0" sqref="F8:F27"/>
    </sheetView>
  </sheetViews>
  <sheetFormatPr defaultRowHeight="14.25"/>
  <cols>
    <col customWidth="1" min="1" max="1" width="4.8125"/>
    <col customWidth="1" min="10" max="11" width="9.7232140000000005"/>
  </cols>
  <sheetData>
    <row r="1">
      <c r="A1" s="1" t="s">
        <v>574</v>
      </c>
    </row>
    <row r="2" s="55" customFormat="1"/>
    <row r="3" s="55" customFormat="1" ht="15" customHeight="1">
      <c r="A3" s="55" t="s">
        <v>575</v>
      </c>
    </row>
    <row r="4" s="55" customFormat="1"/>
    <row r="5">
      <c r="B5" s="4" t="s">
        <v>342</v>
      </c>
      <c r="C5" s="4" t="s">
        <v>343</v>
      </c>
      <c r="E5" t="s">
        <v>578</v>
      </c>
      <c r="I5" t="s">
        <v>475</v>
      </c>
      <c r="M5" t="s">
        <v>476</v>
      </c>
      <c r="Q5" t="s">
        <v>477</v>
      </c>
      <c r="V5" t="s">
        <v>478</v>
      </c>
      <c r="AD5" t="s">
        <v>479</v>
      </c>
    </row>
    <row r="6">
      <c r="B6" s="15"/>
      <c r="C6" s="15"/>
      <c r="Y6" t="s">
        <v>385</v>
      </c>
      <c r="Z6">
        <v>5.0000000000000003e-02</v>
      </c>
    </row>
    <row r="7">
      <c r="A7">
        <v>1</v>
      </c>
      <c r="B7">
        <v>0.11767564756553414</v>
      </c>
      <c r="C7">
        <f t="shared" ref="C7:C9" si="930">0.7*C6+B7-0.2*B6</f>
        <v>0.11767564756553402</v>
      </c>
      <c r="E7" s="24" t="s">
        <v>355</v>
      </c>
      <c r="F7" s="24" t="s">
        <v>173</v>
      </c>
      <c r="G7" s="24" t="s">
        <v>480</v>
      </c>
      <c r="I7" s="24" t="s">
        <v>481</v>
      </c>
      <c r="J7" s="24" t="s">
        <v>482</v>
      </c>
      <c r="K7" s="24" t="s">
        <v>483</v>
      </c>
      <c r="M7" s="24" t="s">
        <v>469</v>
      </c>
      <c r="N7" s="24" t="s">
        <v>470</v>
      </c>
      <c r="O7" s="24" t="s">
        <v>484</v>
      </c>
      <c r="Q7" s="24" t="s">
        <v>485</v>
      </c>
      <c r="R7" s="24" t="s">
        <v>486</v>
      </c>
      <c r="S7" s="24" t="s">
        <v>358</v>
      </c>
      <c r="T7" s="24" t="s">
        <v>189</v>
      </c>
      <c r="V7" s="24" t="s">
        <v>355</v>
      </c>
      <c r="W7" s="24" t="s">
        <v>173</v>
      </c>
      <c r="X7" s="24" t="s">
        <v>480</v>
      </c>
      <c r="Y7" s="24" t="s">
        <v>208</v>
      </c>
      <c r="Z7" s="24" t="s">
        <v>183</v>
      </c>
      <c r="AA7" s="24" t="s">
        <v>215</v>
      </c>
      <c r="AB7" s="24" t="s">
        <v>216</v>
      </c>
      <c r="AD7" s="24" t="s">
        <v>355</v>
      </c>
      <c r="AE7" s="24" t="s">
        <v>193</v>
      </c>
    </row>
    <row r="8">
      <c r="A8">
        <f t="shared" ref="A8:A10" si="931">A7+1</f>
        <v>2</v>
      </c>
      <c r="B8">
        <v>0.64941326201616079</v>
      </c>
      <c r="C8">
        <f t="shared" si="930"/>
        <v>0.70825108579892804</v>
      </c>
      <c r="E8">
        <v>1</v>
      </c>
      <c r="F8">
        <f t="shared" ref="F8:F10" si="932">C7</f>
        <v>0.11767564756553402</v>
      </c>
      <c r="G8">
        <v>0</v>
      </c>
      <c r="I8" s="15">
        <v>1</v>
      </c>
      <c r="J8">
        <v>0.68675435053259382</v>
      </c>
      <c r="K8">
        <v>-0.4030510430747033</v>
      </c>
      <c r="M8" s="26" t="e">
        <v>#NAME?</v>
      </c>
      <c r="N8" s="26" t="e">
        <v>#NAME?</v>
      </c>
      <c r="O8" s="26" t="e">
        <v>#NAME?</v>
      </c>
      <c r="Q8" t="s">
        <v>488</v>
      </c>
      <c r="R8">
        <f>J8</f>
        <v>0.68675435053259404</v>
      </c>
      <c r="S8" t="e">
        <v>#NAME?</v>
      </c>
      <c r="T8" t="e">
        <f>CHIDIST(K21*(LN(S8)-LN(K11)),1)</f>
        <v>#NAME?</v>
      </c>
      <c r="V8">
        <f t="shared" ref="V8:V9" si="933">E8</f>
        <v>1</v>
      </c>
      <c r="W8">
        <f t="shared" ref="W8:W9" si="934">F8</f>
        <v>0.11767564756553402</v>
      </c>
      <c r="X8">
        <f t="shared" ref="X8:X9" si="935">G8</f>
        <v>0</v>
      </c>
      <c r="Y8">
        <f t="shared" ref="Y8:Y9" si="936">W8-X8</f>
        <v>0.11767564756553402</v>
      </c>
      <c r="Z8">
        <f t="shared" ref="Z8:Z71" si="937">K$18</f>
        <v>1.0293707782163699</v>
      </c>
      <c r="AA8">
        <f t="shared" ref="AA8:AA9" si="938">Y8-NORMSINV(1-Z$6/2)*Z8</f>
        <v>-1.8998539050288701</v>
      </c>
      <c r="AB8">
        <f t="shared" ref="AB8:AB9" si="939">Y8+NORMSINV(1-Z$6/2)*Z8</f>
        <v>2.13520520015993</v>
      </c>
      <c r="AD8">
        <v>1</v>
      </c>
      <c r="AE8">
        <f t="shared" ref="AE8:AE10" si="940">C7</f>
        <v>0.11767564756553402</v>
      </c>
    </row>
    <row r="9">
      <c r="A9">
        <f t="shared" si="931"/>
        <v>3</v>
      </c>
      <c r="B9">
        <v>-2.0291245092742414</v>
      </c>
      <c r="C9">
        <f t="shared" si="930"/>
        <v>-1.6632314016182199</v>
      </c>
      <c r="E9">
        <f t="shared" ref="E9:E10" si="941">E8+1</f>
        <v>2</v>
      </c>
      <c r="F9">
        <f t="shared" si="932"/>
        <v>0.70825108579892804</v>
      </c>
      <c r="G9">
        <f>F9-SUMPRODUCT(F8,J$8)-SUMPRODUCT(G8,K$8)</f>
        <v>0.627436822881557</v>
      </c>
      <c r="I9" s="17" t="s">
        <v>494</v>
      </c>
      <c r="J9" s="14">
        <v>0</v>
      </c>
      <c r="K9" s="14">
        <v>0</v>
      </c>
      <c r="Q9" t="s">
        <v>581</v>
      </c>
      <c r="R9">
        <f>K8</f>
        <v>-0.40305104307470307</v>
      </c>
      <c r="S9" t="e">
        <v>#NAME?</v>
      </c>
      <c r="T9" t="e">
        <f>CHIDIST(K21*(LN(S9)-LN(K11)),1)</f>
        <v>#NAME?</v>
      </c>
      <c r="V9">
        <f t="shared" si="933"/>
        <v>2</v>
      </c>
      <c r="W9">
        <f t="shared" si="934"/>
        <v>0.70825108579892804</v>
      </c>
      <c r="X9">
        <f t="shared" si="935"/>
        <v>0.627436822881557</v>
      </c>
      <c r="Y9">
        <f t="shared" si="936"/>
        <v>8.0814262917370983e-02</v>
      </c>
      <c r="Z9">
        <f t="shared" si="937"/>
        <v>1.0293707782163699</v>
      </c>
      <c r="AA9">
        <f t="shared" si="938"/>
        <v>-1.9367152896770301</v>
      </c>
      <c r="AB9">
        <f t="shared" si="939"/>
        <v>2.09834381551177</v>
      </c>
      <c r="AD9">
        <f t="shared" ref="AD9:AD10" si="942">AD8+1</f>
        <v>2</v>
      </c>
      <c r="AE9">
        <f t="shared" si="940"/>
        <v>0.70825108579892804</v>
      </c>
    </row>
    <row r="10">
      <c r="A10">
        <f t="shared" si="931"/>
        <v>4</v>
      </c>
      <c r="B10">
        <v>-0.72108843846184933</v>
      </c>
      <c r="C10">
        <f>0.7*C9+B10-0.2*B9</f>
        <v>-1.4795255177397499</v>
      </c>
      <c r="E10">
        <f t="shared" si="941"/>
        <v>3</v>
      </c>
      <c r="F10">
        <f t="shared" si="932"/>
        <v>-1.6632314016182199</v>
      </c>
      <c r="G10">
        <f>F10-SUMPRODUCT(F9,J$8)-SUMPRODUCT(G9,K$8)</f>
        <v>-1.8967368501341799</v>
      </c>
      <c r="M10" t="s">
        <v>495</v>
      </c>
      <c r="Q10" s="14" t="s">
        <v>283</v>
      </c>
      <c r="R10" s="14">
        <f>K19</f>
        <v>7.7031946982473995e-02</v>
      </c>
      <c r="S10" s="14">
        <f>-R10/(K20/SQRT(K21))</f>
        <v>-0.71204597000749803</v>
      </c>
      <c r="T10" s="14">
        <f>TDIST(ABS(S10),K21-1,2)</f>
        <v>0.47804605482127493</v>
      </c>
      <c r="V10">
        <f t="shared" ref="V10:V73" si="943">E10</f>
        <v>3</v>
      </c>
      <c r="W10">
        <f t="shared" ref="W10:W73" si="944">F10</f>
        <v>-1.6632314016182199</v>
      </c>
      <c r="X10">
        <f t="shared" ref="X10:X73" si="945">G10</f>
        <v>-1.8967368501341799</v>
      </c>
      <c r="Y10">
        <f t="shared" ref="Y10:Y73" si="946">W10-X10</f>
        <v>0.23350544851596</v>
      </c>
      <c r="Z10">
        <f t="shared" si="937"/>
        <v>1.0293707782163699</v>
      </c>
      <c r="AA10">
        <f t="shared" ref="AA10:AA73" si="947">Y10-NORMSINV(1-Z$6/2)*Z10</f>
        <v>-1.7840241040784399</v>
      </c>
      <c r="AB10">
        <f t="shared" ref="AB10:AB73" si="948">Y10+NORMSINV(1-Z$6/2)*Z10</f>
        <v>2.2510350011103601</v>
      </c>
      <c r="AD10">
        <f t="shared" si="942"/>
        <v>3</v>
      </c>
      <c r="AE10">
        <f t="shared" si="940"/>
        <v>-1.6632314016182199</v>
      </c>
    </row>
    <row r="11">
      <c r="A11">
        <f t="shared" ref="A11:A74" si="949">A10+1</f>
        <v>5</v>
      </c>
      <c r="B11">
        <v>0.70747648649116812</v>
      </c>
      <c r="C11">
        <f t="shared" ref="C11:C74" si="950">0.7*C10+B11-0.2*B10</f>
        <v>-0.183973688234292</v>
      </c>
      <c r="E11">
        <f t="shared" ref="E11:E74" si="951">E10+1</f>
        <v>4</v>
      </c>
      <c r="F11">
        <f t="shared" ref="F11:F74" si="952">C10</f>
        <v>-1.4795255177397499</v>
      </c>
      <c r="G11">
        <f t="shared" ref="G11:G74" si="953">F11-SUMPRODUCT(F10,J$8)-SUMPRODUCT(G10,K$8)</f>
        <v>-1.1017758826208199</v>
      </c>
      <c r="J11" t="s">
        <v>464</v>
      </c>
      <c r="K11" s="18">
        <f>SUMSQ(G9:G112)</f>
        <v>110.19883670076</v>
      </c>
      <c r="V11">
        <f t="shared" si="943"/>
        <v>4</v>
      </c>
      <c r="W11">
        <f t="shared" si="944"/>
        <v>-1.4795255177397499</v>
      </c>
      <c r="X11">
        <f t="shared" si="945"/>
        <v>-1.1017758826208199</v>
      </c>
      <c r="Y11">
        <f t="shared" si="946"/>
        <v>-0.37774963511893001</v>
      </c>
      <c r="Z11">
        <f t="shared" si="937"/>
        <v>1.0293707782163699</v>
      </c>
      <c r="AA11">
        <f t="shared" si="947"/>
        <v>-2.3952791877133301</v>
      </c>
      <c r="AB11">
        <f t="shared" si="948"/>
        <v>1.6397799174754699</v>
      </c>
      <c r="AD11">
        <f t="shared" ref="AD11:AD74" si="954">AD10+1</f>
        <v>4</v>
      </c>
      <c r="AE11">
        <f t="shared" ref="AE11:AE74" si="955">C10</f>
        <v>-1.4795255177397499</v>
      </c>
    </row>
    <row r="12">
      <c r="A12">
        <f t="shared" si="949"/>
        <v>6</v>
      </c>
      <c r="B12">
        <v>0.79163430570821358</v>
      </c>
      <c r="C12">
        <f t="shared" si="950"/>
        <v>0.52135742664597595</v>
      </c>
      <c r="E12">
        <f t="shared" si="951"/>
        <v>5</v>
      </c>
      <c r="F12">
        <f t="shared" si="952"/>
        <v>-0.183973688234292</v>
      </c>
      <c r="G12">
        <f t="shared" si="953"/>
        <v>0.38802497907259498</v>
      </c>
      <c r="M12" s="24" t="s">
        <v>469</v>
      </c>
      <c r="N12" s="24" t="s">
        <v>470</v>
      </c>
      <c r="O12" s="24" t="s">
        <v>484</v>
      </c>
      <c r="Q12" t="s">
        <v>496</v>
      </c>
      <c r="R12" s="16" t="s">
        <v>363</v>
      </c>
      <c r="V12">
        <f t="shared" si="943"/>
        <v>5</v>
      </c>
      <c r="W12">
        <f t="shared" si="944"/>
        <v>-0.183973688234292</v>
      </c>
      <c r="X12">
        <f t="shared" si="945"/>
        <v>0.38802497907259498</v>
      </c>
      <c r="Y12">
        <f t="shared" si="946"/>
        <v>-0.57199866730688698</v>
      </c>
      <c r="Z12">
        <f t="shared" si="937"/>
        <v>1.0293707782163699</v>
      </c>
      <c r="AA12">
        <f t="shared" si="947"/>
        <v>-2.5895282199012901</v>
      </c>
      <c r="AB12">
        <f t="shared" si="948"/>
        <v>1.4455308852875099</v>
      </c>
      <c r="AD12">
        <f t="shared" si="954"/>
        <v>5</v>
      </c>
      <c r="AE12">
        <f t="shared" si="955"/>
        <v>-0.183973688234292</v>
      </c>
    </row>
    <row r="13">
      <c r="A13">
        <f t="shared" si="949"/>
        <v>7</v>
      </c>
      <c r="B13">
        <v>-0.23542965362338003</v>
      </c>
      <c r="C13">
        <f t="shared" si="950"/>
        <v>-2.8806316112840003e-02</v>
      </c>
      <c r="E13">
        <f t="shared" si="951"/>
        <v>6</v>
      </c>
      <c r="F13">
        <f t="shared" si="952"/>
        <v>0.52135742664597595</v>
      </c>
      <c r="G13">
        <f t="shared" si="953"/>
        <v>0.80409602997865215</v>
      </c>
      <c r="J13" t="s">
        <v>497</v>
      </c>
      <c r="K13" s="7">
        <v>1</v>
      </c>
      <c r="M13" s="26" t="e">
        <v>#NAME?</v>
      </c>
      <c r="N13" s="26" t="e">
        <v>#NAME?</v>
      </c>
      <c r="O13" s="26" t="e">
        <v>#NAME?</v>
      </c>
      <c r="V13">
        <f t="shared" si="943"/>
        <v>6</v>
      </c>
      <c r="W13">
        <f t="shared" si="944"/>
        <v>0.52135742664597595</v>
      </c>
      <c r="X13">
        <f t="shared" si="945"/>
        <v>0.80409602997865215</v>
      </c>
      <c r="Y13">
        <f t="shared" si="946"/>
        <v>-0.28273860333267598</v>
      </c>
      <c r="Z13">
        <f t="shared" si="937"/>
        <v>1.0293707782163699</v>
      </c>
      <c r="AA13">
        <f t="shared" si="947"/>
        <v>-2.3002681559270801</v>
      </c>
      <c r="AB13">
        <f t="shared" si="948"/>
        <v>1.73479094926172</v>
      </c>
      <c r="AD13">
        <f t="shared" si="954"/>
        <v>6</v>
      </c>
      <c r="AE13">
        <f t="shared" si="955"/>
        <v>0.52135742664597595</v>
      </c>
    </row>
    <row r="14">
      <c r="A14">
        <f t="shared" si="949"/>
        <v>8</v>
      </c>
      <c r="B14">
        <v>-1.3489481281427076</v>
      </c>
      <c r="C14">
        <f t="shared" si="950"/>
        <v>-1.32202661869702</v>
      </c>
      <c r="E14">
        <f t="shared" si="951"/>
        <v>7</v>
      </c>
      <c r="F14">
        <f t="shared" si="952"/>
        <v>-2.8806316112840003e-02</v>
      </c>
      <c r="G14">
        <f t="shared" si="953"/>
        <v>-6.2759053429318007e-02</v>
      </c>
      <c r="J14" t="s">
        <v>498</v>
      </c>
      <c r="K14" s="10">
        <v>1</v>
      </c>
      <c r="V14">
        <f t="shared" si="943"/>
        <v>7</v>
      </c>
      <c r="W14">
        <f t="shared" si="944"/>
        <v>-2.8806316112840003e-02</v>
      </c>
      <c r="X14">
        <f t="shared" si="945"/>
        <v>-6.2759053429318007e-02</v>
      </c>
      <c r="Y14">
        <f t="shared" si="946"/>
        <v>3.3952737316477993e-02</v>
      </c>
      <c r="Z14">
        <f t="shared" si="937"/>
        <v>1.0293707782163699</v>
      </c>
      <c r="AA14">
        <f t="shared" si="947"/>
        <v>-1.9835768152779201</v>
      </c>
      <c r="AB14">
        <f t="shared" si="948"/>
        <v>2.0514822899108802</v>
      </c>
      <c r="AD14">
        <f t="shared" si="954"/>
        <v>7</v>
      </c>
      <c r="AE14">
        <f t="shared" si="955"/>
        <v>-2.8806316112840003e-02</v>
      </c>
    </row>
    <row r="15">
      <c r="A15">
        <f t="shared" si="949"/>
        <v>9</v>
      </c>
      <c r="B15">
        <v>1.2055841066323034</v>
      </c>
      <c r="C15">
        <f t="shared" si="950"/>
        <v>0.54995509917292795</v>
      </c>
      <c r="E15">
        <f t="shared" si="951"/>
        <v>8</v>
      </c>
      <c r="F15">
        <f t="shared" si="952"/>
        <v>-1.32202661869702</v>
      </c>
      <c r="G15">
        <f t="shared" si="953"/>
        <v>-1.3275388577307801</v>
      </c>
      <c r="J15" t="s">
        <v>181</v>
      </c>
      <c r="K15" s="10">
        <v>0</v>
      </c>
      <c r="M15" t="s">
        <v>499</v>
      </c>
      <c r="V15">
        <f t="shared" si="943"/>
        <v>8</v>
      </c>
      <c r="W15">
        <f t="shared" si="944"/>
        <v>-1.32202661869702</v>
      </c>
      <c r="X15">
        <f t="shared" si="945"/>
        <v>-1.3275388577307801</v>
      </c>
      <c r="Y15">
        <f t="shared" si="946"/>
        <v>5.5122390337600004e-03</v>
      </c>
      <c r="Z15">
        <f t="shared" si="937"/>
        <v>1.0293707782163699</v>
      </c>
      <c r="AA15">
        <f t="shared" si="947"/>
        <v>-2.0120173135606398</v>
      </c>
      <c r="AB15">
        <f t="shared" si="948"/>
        <v>2.02304179162816</v>
      </c>
      <c r="AD15">
        <f t="shared" si="954"/>
        <v>8</v>
      </c>
      <c r="AE15">
        <f t="shared" si="955"/>
        <v>-1.32202661869702</v>
      </c>
    </row>
    <row r="16">
      <c r="A16">
        <f t="shared" si="949"/>
        <v>10</v>
      </c>
      <c r="B16">
        <v>1.1838198499095891</v>
      </c>
      <c r="C16">
        <f t="shared" si="950"/>
        <v>1.32767159800418</v>
      </c>
      <c r="E16">
        <f t="shared" si="951"/>
        <v>9</v>
      </c>
      <c r="F16">
        <f t="shared" si="952"/>
        <v>0.54995509917292795</v>
      </c>
      <c r="G16">
        <f t="shared" si="953"/>
        <v>0.92279670975240902</v>
      </c>
      <c r="J16" t="s">
        <v>500</v>
      </c>
      <c r="K16" s="10">
        <f>AVERAGE(G9:G112)</f>
        <v>5.0679834387030998e-02</v>
      </c>
      <c r="V16">
        <f t="shared" si="943"/>
        <v>9</v>
      </c>
      <c r="W16">
        <f t="shared" si="944"/>
        <v>0.54995509917292795</v>
      </c>
      <c r="X16">
        <f t="shared" si="945"/>
        <v>0.92279670975240902</v>
      </c>
      <c r="Y16">
        <f t="shared" si="946"/>
        <v>-0.37284161057948101</v>
      </c>
      <c r="Z16">
        <f t="shared" si="937"/>
        <v>1.0293707782163699</v>
      </c>
      <c r="AA16">
        <f t="shared" si="947"/>
        <v>-2.3903711631738802</v>
      </c>
      <c r="AB16">
        <f t="shared" si="948"/>
        <v>1.6446879420149201</v>
      </c>
      <c r="AD16">
        <f t="shared" si="954"/>
        <v>9</v>
      </c>
      <c r="AE16">
        <f t="shared" si="955"/>
        <v>0.54995509917292795</v>
      </c>
    </row>
    <row r="17">
      <c r="A17">
        <f t="shared" si="949"/>
        <v>11</v>
      </c>
      <c r="B17">
        <v>-0.37229539413802176</v>
      </c>
      <c r="C17">
        <f t="shared" si="950"/>
        <v>0.32031075448298602</v>
      </c>
      <c r="E17">
        <f t="shared" si="951"/>
        <v>10</v>
      </c>
      <c r="F17">
        <f t="shared" si="952"/>
        <v>1.32767159800418</v>
      </c>
      <c r="G17">
        <f t="shared" si="953"/>
        <v>1.3219217174611999</v>
      </c>
      <c r="J17" t="s">
        <v>502</v>
      </c>
      <c r="K17" s="10">
        <f>STDEV(G9:G112)</f>
        <v>1.0331012711614</v>
      </c>
      <c r="M17" s="24" t="s">
        <v>481</v>
      </c>
      <c r="N17" s="24" t="s">
        <v>501</v>
      </c>
      <c r="V17">
        <f t="shared" si="943"/>
        <v>10</v>
      </c>
      <c r="W17">
        <f t="shared" si="944"/>
        <v>1.32767159800418</v>
      </c>
      <c r="X17">
        <f t="shared" si="945"/>
        <v>1.3219217174611999</v>
      </c>
      <c r="Y17">
        <f t="shared" si="946"/>
        <v>5.749880542980001e-03</v>
      </c>
      <c r="Z17">
        <f t="shared" si="937"/>
        <v>1.0293707782163699</v>
      </c>
      <c r="AA17">
        <f t="shared" si="947"/>
        <v>-2.0117796720514201</v>
      </c>
      <c r="AB17">
        <f t="shared" si="948"/>
        <v>2.0232794331373798</v>
      </c>
      <c r="AD17">
        <f t="shared" si="954"/>
        <v>10</v>
      </c>
      <c r="AE17">
        <f t="shared" si="955"/>
        <v>1.32767159800418</v>
      </c>
    </row>
    <row r="18">
      <c r="A18">
        <f t="shared" si="949"/>
        <v>12</v>
      </c>
      <c r="B18">
        <v>1.3338509496353779e-02</v>
      </c>
      <c r="C18">
        <f t="shared" si="950"/>
        <v>0.31201511646204799</v>
      </c>
      <c r="E18">
        <f t="shared" si="951"/>
        <v>11</v>
      </c>
      <c r="F18">
        <f t="shared" si="952"/>
        <v>0.32031075448298602</v>
      </c>
      <c r="G18">
        <f t="shared" si="953"/>
        <v>-5.8671564439105997e-02</v>
      </c>
      <c r="J18" t="s">
        <v>503</v>
      </c>
      <c r="K18" s="10">
        <f>SQRT(K11/K21)</f>
        <v>1.0293707782163699</v>
      </c>
      <c r="M18" s="42">
        <v>0</v>
      </c>
      <c r="N18" s="42" t="e">
        <v>#NAME?</v>
      </c>
      <c r="V18">
        <f t="shared" si="943"/>
        <v>11</v>
      </c>
      <c r="W18">
        <f t="shared" si="944"/>
        <v>0.32031075448298602</v>
      </c>
      <c r="X18">
        <f t="shared" si="945"/>
        <v>-5.8671564439105997e-02</v>
      </c>
      <c r="Y18">
        <f t="shared" si="946"/>
        <v>0.378982318922092</v>
      </c>
      <c r="Z18">
        <f t="shared" si="937"/>
        <v>1.0293707782163699</v>
      </c>
      <c r="AA18">
        <f t="shared" si="947"/>
        <v>-1.6385472336723099</v>
      </c>
      <c r="AB18">
        <f t="shared" si="948"/>
        <v>2.3965118715164899</v>
      </c>
      <c r="AD18">
        <f t="shared" si="954"/>
        <v>11</v>
      </c>
      <c r="AE18">
        <f t="shared" si="955"/>
        <v>0.32031075448298602</v>
      </c>
    </row>
    <row r="19">
      <c r="A19">
        <f t="shared" si="949"/>
        <v>13</v>
      </c>
      <c r="B19">
        <v>0.70245593167564913</v>
      </c>
      <c r="C19">
        <f t="shared" si="950"/>
        <v>0.91819881129981196</v>
      </c>
      <c r="E19">
        <f t="shared" si="951"/>
        <v>12</v>
      </c>
      <c r="F19">
        <f t="shared" si="952"/>
        <v>0.31201511646204799</v>
      </c>
      <c r="G19">
        <f t="shared" si="953"/>
        <v>6.8392677052473996e-02</v>
      </c>
      <c r="J19" t="s">
        <v>504</v>
      </c>
      <c r="K19" s="10">
        <f>AVERAGE(F9:F112)</f>
        <v>7.7031946982473995e-02</v>
      </c>
      <c r="M19">
        <f t="shared" ref="M19:M22" si="956">M18+1</f>
        <v>1</v>
      </c>
      <c r="N19" t="e">
        <v>#NAME?</v>
      </c>
      <c r="V19">
        <f t="shared" si="943"/>
        <v>12</v>
      </c>
      <c r="W19">
        <f t="shared" si="944"/>
        <v>0.31201511646204799</v>
      </c>
      <c r="X19">
        <f t="shared" si="945"/>
        <v>6.8392677052473996e-02</v>
      </c>
      <c r="Y19">
        <f t="shared" si="946"/>
        <v>0.24362243940957401</v>
      </c>
      <c r="Z19">
        <f t="shared" si="937"/>
        <v>1.0293707782163699</v>
      </c>
      <c r="AA19">
        <f t="shared" si="947"/>
        <v>-1.7739071131848301</v>
      </c>
      <c r="AB19">
        <f t="shared" si="948"/>
        <v>2.26115199200397</v>
      </c>
      <c r="AD19">
        <f t="shared" si="954"/>
        <v>12</v>
      </c>
      <c r="AE19">
        <f t="shared" si="955"/>
        <v>0.31201511646204799</v>
      </c>
    </row>
    <row r="20">
      <c r="A20">
        <f t="shared" si="949"/>
        <v>14</v>
      </c>
      <c r="B20">
        <v>-0.35036242471588258</v>
      </c>
      <c r="C20">
        <f t="shared" si="950"/>
        <v>0.15188555685885499</v>
      </c>
      <c r="E20">
        <f t="shared" si="951"/>
        <v>13</v>
      </c>
      <c r="F20">
        <f t="shared" si="952"/>
        <v>0.91819881129981196</v>
      </c>
      <c r="G20">
        <f t="shared" si="953"/>
        <v>0.73148681246223801</v>
      </c>
      <c r="J20" t="s">
        <v>505</v>
      </c>
      <c r="K20" s="10">
        <f>STDEV(F9:F112)</f>
        <v>1.10326416377174</v>
      </c>
      <c r="M20">
        <f t="shared" si="956"/>
        <v>2</v>
      </c>
      <c r="N20" t="e">
        <v>#NAME?</v>
      </c>
      <c r="V20">
        <f t="shared" si="943"/>
        <v>13</v>
      </c>
      <c r="W20">
        <f t="shared" si="944"/>
        <v>0.91819881129981196</v>
      </c>
      <c r="X20">
        <f t="shared" si="945"/>
        <v>0.73148681246223801</v>
      </c>
      <c r="Y20">
        <f t="shared" si="946"/>
        <v>0.186711998837574</v>
      </c>
      <c r="Z20">
        <f t="shared" si="937"/>
        <v>1.0293707782163699</v>
      </c>
      <c r="AA20">
        <f t="shared" si="947"/>
        <v>-1.8308175537568301</v>
      </c>
      <c r="AB20">
        <f t="shared" si="948"/>
        <v>2.20424155143197</v>
      </c>
      <c r="AD20">
        <f t="shared" si="954"/>
        <v>13</v>
      </c>
      <c r="AE20">
        <f t="shared" si="955"/>
        <v>0.91819881129981196</v>
      </c>
    </row>
    <row r="21">
      <c r="A21">
        <f t="shared" si="949"/>
        <v>15</v>
      </c>
      <c r="B21">
        <v>0.21713729591053149</v>
      </c>
      <c r="C21">
        <f t="shared" si="950"/>
        <v>0.39352967065490801</v>
      </c>
      <c r="E21">
        <f t="shared" si="951"/>
        <v>14</v>
      </c>
      <c r="F21">
        <f t="shared" si="952"/>
        <v>0.15188555685885499</v>
      </c>
      <c r="G21">
        <f t="shared" si="953"/>
        <v>-0.18386494869685199</v>
      </c>
      <c r="J21" t="s">
        <v>506</v>
      </c>
      <c r="K21" s="13">
        <f>COUNT(F9:F112)</f>
        <v>104</v>
      </c>
      <c r="M21">
        <f t="shared" si="956"/>
        <v>3</v>
      </c>
      <c r="N21" t="e">
        <v>#NAME?</v>
      </c>
      <c r="V21">
        <f t="shared" si="943"/>
        <v>14</v>
      </c>
      <c r="W21">
        <f t="shared" si="944"/>
        <v>0.15188555685885499</v>
      </c>
      <c r="X21">
        <f t="shared" si="945"/>
        <v>-0.18386494869685199</v>
      </c>
      <c r="Y21">
        <f t="shared" si="946"/>
        <v>0.33575050555570701</v>
      </c>
      <c r="Z21">
        <f t="shared" si="937"/>
        <v>1.0293707782163699</v>
      </c>
      <c r="AA21">
        <f t="shared" si="947"/>
        <v>-1.68177904703869</v>
      </c>
      <c r="AB21">
        <f t="shared" si="948"/>
        <v>2.3532800581501099</v>
      </c>
      <c r="AD21">
        <f t="shared" si="954"/>
        <v>14</v>
      </c>
      <c r="AE21">
        <f t="shared" si="955"/>
        <v>0.15188555685885499</v>
      </c>
    </row>
    <row r="22">
      <c r="A22">
        <f t="shared" si="949"/>
        <v>16</v>
      </c>
      <c r="B22">
        <v>-0.50660744040413153</v>
      </c>
      <c r="C22">
        <f t="shared" si="950"/>
        <v>-0.27456413012780201</v>
      </c>
      <c r="E22">
        <f t="shared" si="951"/>
        <v>15</v>
      </c>
      <c r="F22">
        <f t="shared" si="952"/>
        <v>0.39352967065490801</v>
      </c>
      <c r="G22">
        <f t="shared" si="953"/>
        <v>0.21511464434188099</v>
      </c>
      <c r="M22" s="14">
        <f t="shared" si="956"/>
        <v>4</v>
      </c>
      <c r="N22" s="14" t="e">
        <v>#NAME?</v>
      </c>
      <c r="V22">
        <f t="shared" si="943"/>
        <v>15</v>
      </c>
      <c r="W22">
        <f t="shared" si="944"/>
        <v>0.39352967065490801</v>
      </c>
      <c r="X22">
        <f t="shared" si="945"/>
        <v>0.21511464434188099</v>
      </c>
      <c r="Y22">
        <f t="shared" si="946"/>
        <v>0.178415026313027</v>
      </c>
      <c r="Z22">
        <f t="shared" si="937"/>
        <v>1.0293707782163699</v>
      </c>
      <c r="AA22">
        <f t="shared" si="947"/>
        <v>-1.83911452628137</v>
      </c>
      <c r="AB22">
        <f t="shared" si="948"/>
        <v>2.1959445789074299</v>
      </c>
      <c r="AD22">
        <f t="shared" si="954"/>
        <v>15</v>
      </c>
      <c r="AE22">
        <f t="shared" si="955"/>
        <v>0.39352967065490801</v>
      </c>
    </row>
    <row r="23">
      <c r="A23">
        <f t="shared" si="949"/>
        <v>17</v>
      </c>
      <c r="B23">
        <v>1.3197112250332259</v>
      </c>
      <c r="C23">
        <f t="shared" si="950"/>
        <v>1.2288378220245999</v>
      </c>
      <c r="E23">
        <f t="shared" si="951"/>
        <v>16</v>
      </c>
      <c r="F23">
        <f t="shared" si="952"/>
        <v>-0.27456413012780201</v>
      </c>
      <c r="G23">
        <f t="shared" si="953"/>
        <v>-0.45812016173108</v>
      </c>
      <c r="J23" t="s">
        <v>507</v>
      </c>
      <c r="K23" s="7">
        <f>-(K26-2*(K13+K14+1))/2</f>
        <v>-150.580170399184</v>
      </c>
      <c r="V23">
        <f t="shared" si="943"/>
        <v>16</v>
      </c>
      <c r="W23">
        <f t="shared" si="944"/>
        <v>-0.27456413012780201</v>
      </c>
      <c r="X23">
        <f t="shared" si="945"/>
        <v>-0.45812016173108</v>
      </c>
      <c r="Y23">
        <f t="shared" si="946"/>
        <v>0.18355603160327799</v>
      </c>
      <c r="Z23">
        <f t="shared" si="937"/>
        <v>1.0293707782163699</v>
      </c>
      <c r="AA23">
        <f t="shared" si="947"/>
        <v>-1.8339735209911201</v>
      </c>
      <c r="AB23">
        <f t="shared" si="948"/>
        <v>2.20108558419768</v>
      </c>
      <c r="AD23">
        <f t="shared" si="954"/>
        <v>16</v>
      </c>
      <c r="AE23">
        <f t="shared" si="955"/>
        <v>-0.27456413012780201</v>
      </c>
    </row>
    <row r="24">
      <c r="A24">
        <f t="shared" si="949"/>
        <v>18</v>
      </c>
      <c r="B24">
        <v>2.0721563220833827</v>
      </c>
      <c r="C24">
        <f t="shared" si="950"/>
        <v>2.6684005524939498</v>
      </c>
      <c r="E24">
        <f t="shared" si="951"/>
        <v>17</v>
      </c>
      <c r="F24">
        <f t="shared" si="952"/>
        <v>1.2288378220245999</v>
      </c>
      <c r="G24">
        <f t="shared" si="953"/>
        <v>1.2327501238508101</v>
      </c>
      <c r="J24" t="s">
        <v>374</v>
      </c>
      <c r="K24" s="10">
        <f>K21*LN(K11/K21)+2*(K13+K14+1)</f>
        <v>12.0211258917968</v>
      </c>
      <c r="V24">
        <f t="shared" si="943"/>
        <v>17</v>
      </c>
      <c r="W24">
        <f t="shared" si="944"/>
        <v>1.2288378220245999</v>
      </c>
      <c r="X24">
        <f t="shared" si="945"/>
        <v>1.2327501238508101</v>
      </c>
      <c r="Y24">
        <f t="shared" si="946"/>
        <v>-3.9123018262099997e-03</v>
      </c>
      <c r="Z24">
        <f t="shared" si="937"/>
        <v>1.0293707782163699</v>
      </c>
      <c r="AA24">
        <f t="shared" si="947"/>
        <v>-2.0214418544206101</v>
      </c>
      <c r="AB24">
        <f t="shared" si="948"/>
        <v>2.0136172507681902</v>
      </c>
      <c r="AD24">
        <f t="shared" si="954"/>
        <v>17</v>
      </c>
      <c r="AE24">
        <f t="shared" si="955"/>
        <v>1.2288378220245999</v>
      </c>
    </row>
    <row r="25">
      <c r="A25">
        <f t="shared" si="949"/>
        <v>19</v>
      </c>
      <c r="B25">
        <v>1.9642789414916848</v>
      </c>
      <c r="C25">
        <f t="shared" si="950"/>
        <v>3.4177280638207601</v>
      </c>
      <c r="E25">
        <f t="shared" si="951"/>
        <v>18</v>
      </c>
      <c r="F25">
        <f t="shared" si="952"/>
        <v>2.6684005524939498</v>
      </c>
      <c r="G25">
        <f t="shared" si="953"/>
        <v>2.3213520553881</v>
      </c>
      <c r="J25" t="s">
        <v>508</v>
      </c>
      <c r="K25" s="10">
        <f>K21*LN(K11/K21)+LN(K21)*(K13+K14+1)</f>
        <v>19.954298589220901</v>
      </c>
      <c r="V25">
        <f t="shared" si="943"/>
        <v>18</v>
      </c>
      <c r="W25">
        <f t="shared" si="944"/>
        <v>2.6684005524939498</v>
      </c>
      <c r="X25">
        <f t="shared" si="945"/>
        <v>2.3213520553881</v>
      </c>
      <c r="Y25">
        <f t="shared" si="946"/>
        <v>0.34704849710585001</v>
      </c>
      <c r="Z25">
        <f t="shared" si="937"/>
        <v>1.0293707782163699</v>
      </c>
      <c r="AA25">
        <f t="shared" si="947"/>
        <v>-1.6704810554885501</v>
      </c>
      <c r="AB25">
        <f t="shared" si="948"/>
        <v>2.36457804970025</v>
      </c>
      <c r="AD25">
        <f t="shared" si="954"/>
        <v>18</v>
      </c>
      <c r="AE25">
        <f t="shared" si="955"/>
        <v>2.6684005524939498</v>
      </c>
    </row>
    <row r="26">
      <c r="A26">
        <f t="shared" si="949"/>
        <v>20</v>
      </c>
      <c r="B26">
        <v>0.23964330043753548</v>
      </c>
      <c r="C26">
        <f t="shared" si="950"/>
        <v>2.2391971568137299</v>
      </c>
      <c r="E26">
        <f t="shared" si="951"/>
        <v>19</v>
      </c>
      <c r="F26">
        <f t="shared" si="952"/>
        <v>3.4177280638207601</v>
      </c>
      <c r="G26">
        <f t="shared" si="953"/>
        <v>2.5208157426997402</v>
      </c>
      <c r="J26" t="s">
        <v>509</v>
      </c>
      <c r="K26" s="10">
        <f>K21*(1+LN(2*PI()))+K24</f>
        <v>307.160340798368</v>
      </c>
      <c r="V26">
        <f t="shared" si="943"/>
        <v>19</v>
      </c>
      <c r="W26">
        <f t="shared" si="944"/>
        <v>3.4177280638207601</v>
      </c>
      <c r="X26">
        <f t="shared" si="945"/>
        <v>2.5208157426997402</v>
      </c>
      <c r="Y26">
        <f t="shared" si="946"/>
        <v>0.89691232112102015</v>
      </c>
      <c r="Z26">
        <f t="shared" si="937"/>
        <v>1.0293707782163699</v>
      </c>
      <c r="AA26">
        <f t="shared" si="947"/>
        <v>-1.12061723147338</v>
      </c>
      <c r="AB26">
        <f t="shared" si="948"/>
        <v>2.9144418737154201</v>
      </c>
      <c r="AD26">
        <f t="shared" si="954"/>
        <v>19</v>
      </c>
      <c r="AE26">
        <f t="shared" si="955"/>
        <v>3.4177280638207601</v>
      </c>
    </row>
    <row r="27">
      <c r="A27">
        <f t="shared" si="949"/>
        <v>21</v>
      </c>
      <c r="B27">
        <v>0.60305056491796249</v>
      </c>
      <c r="C27">
        <f t="shared" si="950"/>
        <v>2.12255991460006</v>
      </c>
      <c r="E27">
        <f t="shared" si="951"/>
        <v>20</v>
      </c>
      <c r="F27">
        <f t="shared" si="952"/>
        <v>2.2391971568137299</v>
      </c>
      <c r="G27">
        <f t="shared" si="953"/>
        <v>0.90807495454174014</v>
      </c>
      <c r="J27" t="s">
        <v>510</v>
      </c>
      <c r="K27" s="13">
        <f>K21*(1+LN(2*PI()))+K25</f>
        <v>315.09351349579202</v>
      </c>
      <c r="V27">
        <f t="shared" si="943"/>
        <v>20</v>
      </c>
      <c r="W27">
        <f t="shared" si="944"/>
        <v>2.2391971568137299</v>
      </c>
      <c r="X27">
        <f t="shared" si="945"/>
        <v>0.90807495454174014</v>
      </c>
      <c r="Y27">
        <f t="shared" si="946"/>
        <v>1.33112220227199</v>
      </c>
      <c r="Z27">
        <f t="shared" si="937"/>
        <v>1.0293707782163699</v>
      </c>
      <c r="AA27">
        <f t="shared" si="947"/>
        <v>-0.68640735032240996</v>
      </c>
      <c r="AB27">
        <f t="shared" si="948"/>
        <v>3.3486517548663901</v>
      </c>
      <c r="AD27">
        <f t="shared" si="954"/>
        <v>20</v>
      </c>
      <c r="AE27">
        <f t="shared" si="955"/>
        <v>2.2391971568137299</v>
      </c>
    </row>
    <row r="28">
      <c r="A28">
        <f t="shared" si="949"/>
        <v>22</v>
      </c>
      <c r="B28">
        <v>-0.90138311182696318</v>
      </c>
      <c r="C28">
        <f t="shared" si="950"/>
        <v>0.46379871540948397</v>
      </c>
      <c r="E28">
        <f t="shared" si="951"/>
        <v>21</v>
      </c>
      <c r="F28">
        <f t="shared" si="952"/>
        <v>2.12255991460006</v>
      </c>
      <c r="G28">
        <f t="shared" si="953"/>
        <v>0.95078208307608203</v>
      </c>
      <c r="V28">
        <f t="shared" si="943"/>
        <v>21</v>
      </c>
      <c r="W28">
        <f t="shared" si="944"/>
        <v>2.12255991460006</v>
      </c>
      <c r="X28">
        <f t="shared" si="945"/>
        <v>0.95078208307608203</v>
      </c>
      <c r="Y28">
        <f t="shared" si="946"/>
        <v>1.17177783152398</v>
      </c>
      <c r="Z28">
        <f t="shared" si="937"/>
        <v>1.0293707782163699</v>
      </c>
      <c r="AA28">
        <f t="shared" si="947"/>
        <v>-0.84575172107041996</v>
      </c>
      <c r="AB28">
        <f t="shared" si="948"/>
        <v>3.1893073841183801</v>
      </c>
      <c r="AD28">
        <f t="shared" si="954"/>
        <v>21</v>
      </c>
      <c r="AE28">
        <f t="shared" si="955"/>
        <v>2.12255991460006</v>
      </c>
    </row>
    <row r="29">
      <c r="A29">
        <f t="shared" si="949"/>
        <v>23</v>
      </c>
      <c r="B29">
        <v>-1.0557411773368033</v>
      </c>
      <c r="C29">
        <f t="shared" si="950"/>
        <v>-0.55080545418476801</v>
      </c>
      <c r="E29">
        <f t="shared" si="951"/>
        <v>22</v>
      </c>
      <c r="F29">
        <f t="shared" si="952"/>
        <v>0.46379871540948397</v>
      </c>
      <c r="G29">
        <f t="shared" si="953"/>
        <v>-0.61066482988764204</v>
      </c>
      <c r="V29">
        <f t="shared" si="943"/>
        <v>22</v>
      </c>
      <c r="W29">
        <f t="shared" si="944"/>
        <v>0.46379871540948397</v>
      </c>
      <c r="X29">
        <f t="shared" si="945"/>
        <v>-0.61066482988764204</v>
      </c>
      <c r="Y29">
        <f t="shared" si="946"/>
        <v>1.0744635452971301</v>
      </c>
      <c r="Z29">
        <f t="shared" si="937"/>
        <v>1.0293707782163699</v>
      </c>
      <c r="AA29">
        <f t="shared" si="947"/>
        <v>-0.94306600729726997</v>
      </c>
      <c r="AB29">
        <f t="shared" si="948"/>
        <v>3.09199309789153</v>
      </c>
      <c r="AD29">
        <f t="shared" si="954"/>
        <v>22</v>
      </c>
      <c r="AE29">
        <f t="shared" si="955"/>
        <v>0.46379871540948397</v>
      </c>
    </row>
    <row r="30">
      <c r="A30">
        <f t="shared" si="949"/>
        <v>24</v>
      </c>
      <c r="B30">
        <v>1.3573618295701022</v>
      </c>
      <c r="C30">
        <f t="shared" si="950"/>
        <v>1.18294624710812</v>
      </c>
      <c r="E30">
        <f t="shared" si="951"/>
        <v>23</v>
      </c>
      <c r="F30">
        <f t="shared" si="952"/>
        <v>-0.55080545418476801</v>
      </c>
      <c r="G30">
        <f t="shared" si="953"/>
        <v>-1.1154503364189099</v>
      </c>
      <c r="V30">
        <f t="shared" si="943"/>
        <v>23</v>
      </c>
      <c r="W30">
        <f t="shared" si="944"/>
        <v>-0.55080545418476801</v>
      </c>
      <c r="X30">
        <f t="shared" si="945"/>
        <v>-1.1154503364189099</v>
      </c>
      <c r="Y30">
        <f t="shared" si="946"/>
        <v>0.564644882234142</v>
      </c>
      <c r="Z30">
        <f t="shared" si="937"/>
        <v>1.0293707782163699</v>
      </c>
      <c r="AA30">
        <f t="shared" si="947"/>
        <v>-1.45288467036026</v>
      </c>
      <c r="AB30">
        <f t="shared" si="948"/>
        <v>2.58217443482854</v>
      </c>
      <c r="AD30">
        <f t="shared" si="954"/>
        <v>23</v>
      </c>
      <c r="AE30">
        <f t="shared" si="955"/>
        <v>-0.55080545418476801</v>
      </c>
    </row>
    <row r="31">
      <c r="A31">
        <f t="shared" si="949"/>
        <v>25</v>
      </c>
      <c r="B31">
        <v>-2.969888722096329</v>
      </c>
      <c r="C31">
        <f t="shared" si="950"/>
        <v>-2.4132987150346699</v>
      </c>
      <c r="E31">
        <f t="shared" si="951"/>
        <v>24</v>
      </c>
      <c r="F31">
        <f t="shared" si="952"/>
        <v>1.18294624710812</v>
      </c>
      <c r="G31">
        <f t="shared" si="953"/>
        <v>1.11163086747492</v>
      </c>
      <c r="V31">
        <f t="shared" si="943"/>
        <v>24</v>
      </c>
      <c r="W31">
        <f t="shared" si="944"/>
        <v>1.18294624710812</v>
      </c>
      <c r="X31">
        <f t="shared" si="945"/>
        <v>1.11163086747492</v>
      </c>
      <c r="Y31">
        <f t="shared" si="946"/>
        <v>7.1315379633200005e-02</v>
      </c>
      <c r="Z31">
        <f t="shared" si="937"/>
        <v>1.0293707782163699</v>
      </c>
      <c r="AA31">
        <f t="shared" si="947"/>
        <v>-1.9462141729611999</v>
      </c>
      <c r="AB31">
        <f t="shared" si="948"/>
        <v>2.0888449322275999</v>
      </c>
      <c r="AD31">
        <f t="shared" si="954"/>
        <v>24</v>
      </c>
      <c r="AE31">
        <f t="shared" si="955"/>
        <v>1.18294624710812</v>
      </c>
    </row>
    <row r="32">
      <c r="A32">
        <f t="shared" si="949"/>
        <v>26</v>
      </c>
      <c r="B32">
        <v>2.0748019655504284</v>
      </c>
      <c r="C32">
        <f t="shared" si="950"/>
        <v>0.97947060944542597</v>
      </c>
      <c r="E32">
        <f t="shared" si="951"/>
        <v>25</v>
      </c>
      <c r="F32">
        <f t="shared" si="952"/>
        <v>-2.4132987150346699</v>
      </c>
      <c r="G32">
        <f t="shared" si="953"/>
        <v>-2.7776482160325799</v>
      </c>
      <c r="V32">
        <f t="shared" si="943"/>
        <v>25</v>
      </c>
      <c r="W32">
        <f t="shared" si="944"/>
        <v>-2.4132987150346699</v>
      </c>
      <c r="X32">
        <f t="shared" si="945"/>
        <v>-2.7776482160325799</v>
      </c>
      <c r="Y32">
        <f t="shared" si="946"/>
        <v>0.36434950099791003</v>
      </c>
      <c r="Z32">
        <f t="shared" si="937"/>
        <v>1.0293707782163699</v>
      </c>
      <c r="AA32">
        <f t="shared" si="947"/>
        <v>-1.6531800515964901</v>
      </c>
      <c r="AB32">
        <f t="shared" si="948"/>
        <v>2.3818790535923098</v>
      </c>
      <c r="AD32">
        <f t="shared" si="954"/>
        <v>25</v>
      </c>
      <c r="AE32">
        <f t="shared" si="955"/>
        <v>-2.4132987150346699</v>
      </c>
    </row>
    <row r="33">
      <c r="A33">
        <f t="shared" si="949"/>
        <v>27</v>
      </c>
      <c r="B33">
        <v>0.28021329874765349</v>
      </c>
      <c r="C33">
        <f t="shared" si="950"/>
        <v>0.550882332249366</v>
      </c>
      <c r="E33">
        <f t="shared" si="951"/>
        <v>26</v>
      </c>
      <c r="F33">
        <f t="shared" si="952"/>
        <v>0.97947060944542597</v>
      </c>
      <c r="G33">
        <f t="shared" si="953"/>
        <v>1.51727999036369</v>
      </c>
      <c r="V33">
        <f t="shared" si="943"/>
        <v>26</v>
      </c>
      <c r="W33">
        <f t="shared" si="944"/>
        <v>0.97947060944542597</v>
      </c>
      <c r="X33">
        <f t="shared" si="945"/>
        <v>1.51727999036369</v>
      </c>
      <c r="Y33">
        <f t="shared" si="946"/>
        <v>-0.53780938091826402</v>
      </c>
      <c r="Z33">
        <f t="shared" si="937"/>
        <v>1.0293707782163699</v>
      </c>
      <c r="AA33">
        <f t="shared" si="947"/>
        <v>-2.5553389335126599</v>
      </c>
      <c r="AB33">
        <f t="shared" si="948"/>
        <v>1.4797201716761399</v>
      </c>
      <c r="AD33">
        <f t="shared" si="954"/>
        <v>26</v>
      </c>
      <c r="AE33">
        <f t="shared" si="955"/>
        <v>0.97947060944542597</v>
      </c>
    </row>
    <row r="34">
      <c r="A34">
        <f t="shared" si="949"/>
        <v>28</v>
      </c>
      <c r="B34">
        <v>0.89834644475651204</v>
      </c>
      <c r="C34">
        <f t="shared" si="950"/>
        <v>1.2279214175815401</v>
      </c>
      <c r="E34">
        <f t="shared" si="951"/>
        <v>27</v>
      </c>
      <c r="F34">
        <f t="shared" si="952"/>
        <v>0.550882332249366</v>
      </c>
      <c r="G34">
        <f t="shared" si="953"/>
        <v>0.48976791274636999</v>
      </c>
      <c r="V34">
        <f t="shared" si="943"/>
        <v>27</v>
      </c>
      <c r="W34">
        <f t="shared" si="944"/>
        <v>0.550882332249366</v>
      </c>
      <c r="X34">
        <f t="shared" si="945"/>
        <v>0.48976791274636999</v>
      </c>
      <c r="Y34">
        <f t="shared" si="946"/>
        <v>6.1114419502996002e-02</v>
      </c>
      <c r="Z34">
        <f t="shared" si="937"/>
        <v>1.0293707782163699</v>
      </c>
      <c r="AA34">
        <f t="shared" si="947"/>
        <v>-1.9564151330913999</v>
      </c>
      <c r="AB34">
        <f t="shared" si="948"/>
        <v>2.0786439720973999</v>
      </c>
      <c r="AD34">
        <f t="shared" si="954"/>
        <v>27</v>
      </c>
      <c r="AE34">
        <f t="shared" si="955"/>
        <v>0.550882332249366</v>
      </c>
    </row>
    <row r="35">
      <c r="A35">
        <f t="shared" si="949"/>
        <v>29</v>
      </c>
      <c r="B35">
        <v>-1.603382387248506</v>
      </c>
      <c r="C35">
        <f t="shared" si="950"/>
        <v>-0.92350668389273394</v>
      </c>
      <c r="E35">
        <f t="shared" si="951"/>
        <v>28</v>
      </c>
      <c r="F35">
        <f t="shared" si="952"/>
        <v>1.2279214175815401</v>
      </c>
      <c r="G35">
        <f t="shared" si="953"/>
        <v>1.0470020473746899</v>
      </c>
      <c r="V35">
        <f t="shared" si="943"/>
        <v>28</v>
      </c>
      <c r="W35">
        <f t="shared" si="944"/>
        <v>1.2279214175815401</v>
      </c>
      <c r="X35">
        <f t="shared" si="945"/>
        <v>1.0470020473746899</v>
      </c>
      <c r="Y35">
        <f t="shared" si="946"/>
        <v>0.18091937020685001</v>
      </c>
      <c r="Z35">
        <f t="shared" si="937"/>
        <v>1.0293707782163699</v>
      </c>
      <c r="AA35">
        <f t="shared" si="947"/>
        <v>-1.83661018238755</v>
      </c>
      <c r="AB35">
        <f t="shared" si="948"/>
        <v>2.19844892280125</v>
      </c>
      <c r="AD35">
        <f t="shared" si="954"/>
        <v>28</v>
      </c>
      <c r="AE35">
        <f t="shared" si="955"/>
        <v>1.2279214175815401</v>
      </c>
    </row>
    <row r="36">
      <c r="A36">
        <f t="shared" si="949"/>
        <v>30</v>
      </c>
      <c r="B36">
        <v>0.23549924558665486</v>
      </c>
      <c r="C36">
        <f t="shared" si="950"/>
        <v>-9.0278955688556997e-02</v>
      </c>
      <c r="E36">
        <f t="shared" si="951"/>
        <v>29</v>
      </c>
      <c r="F36">
        <f t="shared" si="952"/>
        <v>-0.92350668389273394</v>
      </c>
      <c r="G36">
        <f t="shared" si="953"/>
        <v>-1.3447917922332899</v>
      </c>
      <c r="V36">
        <f t="shared" si="943"/>
        <v>29</v>
      </c>
      <c r="W36">
        <f t="shared" si="944"/>
        <v>-0.92350668389273394</v>
      </c>
      <c r="X36">
        <f t="shared" si="945"/>
        <v>-1.3447917922332899</v>
      </c>
      <c r="Y36">
        <f t="shared" si="946"/>
        <v>0.42128510834055605</v>
      </c>
      <c r="Z36">
        <f t="shared" si="937"/>
        <v>1.0293707782163699</v>
      </c>
      <c r="AA36">
        <f t="shared" si="947"/>
        <v>-1.5962444442538399</v>
      </c>
      <c r="AB36">
        <f t="shared" si="948"/>
        <v>2.4388146609349599</v>
      </c>
      <c r="AD36">
        <f t="shared" si="954"/>
        <v>29</v>
      </c>
      <c r="AE36">
        <f t="shared" si="955"/>
        <v>-0.92350668389273394</v>
      </c>
    </row>
    <row r="37">
      <c r="A37">
        <f t="shared" si="949"/>
        <v>31</v>
      </c>
      <c r="B37">
        <v>1.7940884644624944</v>
      </c>
      <c r="C37">
        <f t="shared" si="950"/>
        <v>1.68379334636317</v>
      </c>
      <c r="E37">
        <f t="shared" si="951"/>
        <v>30</v>
      </c>
      <c r="F37">
        <f t="shared" si="952"/>
        <v>-9.0278955688556997e-02</v>
      </c>
      <c r="G37">
        <f t="shared" si="953"/>
        <v>1.9235426427800001e-03</v>
      </c>
      <c r="V37">
        <f t="shared" si="943"/>
        <v>30</v>
      </c>
      <c r="W37">
        <f t="shared" si="944"/>
        <v>-9.0278955688556997e-02</v>
      </c>
      <c r="X37">
        <f t="shared" si="945"/>
        <v>1.9235426427800001e-03</v>
      </c>
      <c r="Y37">
        <f t="shared" si="946"/>
        <v>-9.2202498331336993e-02</v>
      </c>
      <c r="Z37">
        <f t="shared" si="937"/>
        <v>1.0293707782163699</v>
      </c>
      <c r="AA37">
        <f t="shared" si="947"/>
        <v>-2.1097320509257398</v>
      </c>
      <c r="AB37">
        <f t="shared" si="948"/>
        <v>1.9253270542630601</v>
      </c>
      <c r="AD37">
        <f t="shared" si="954"/>
        <v>30</v>
      </c>
      <c r="AE37">
        <f t="shared" si="955"/>
        <v>-9.0278955688556997e-02</v>
      </c>
    </row>
    <row r="38">
      <c r="A38">
        <f t="shared" si="949"/>
        <v>32</v>
      </c>
      <c r="B38">
        <v>-1.4306090977486423</v>
      </c>
      <c r="C38">
        <f t="shared" si="950"/>
        <v>-0.61077144818691798</v>
      </c>
      <c r="E38">
        <f t="shared" si="951"/>
        <v>31</v>
      </c>
      <c r="F38">
        <f t="shared" si="952"/>
        <v>1.68379334636317</v>
      </c>
      <c r="G38">
        <f t="shared" si="953"/>
        <v>1.7465680978124001</v>
      </c>
      <c r="V38">
        <f t="shared" si="943"/>
        <v>31</v>
      </c>
      <c r="W38">
        <f t="shared" si="944"/>
        <v>1.68379334636317</v>
      </c>
      <c r="X38">
        <f t="shared" si="945"/>
        <v>1.7465680978124001</v>
      </c>
      <c r="Y38">
        <f t="shared" si="946"/>
        <v>-6.2774751449230004e-02</v>
      </c>
      <c r="Z38">
        <f t="shared" si="937"/>
        <v>1.0293707782163699</v>
      </c>
      <c r="AA38">
        <f t="shared" si="947"/>
        <v>-2.0803043040436302</v>
      </c>
      <c r="AB38">
        <f t="shared" si="948"/>
        <v>1.9547548011451701</v>
      </c>
      <c r="AD38">
        <f t="shared" si="954"/>
        <v>31</v>
      </c>
      <c r="AE38">
        <f t="shared" si="955"/>
        <v>1.68379334636317</v>
      </c>
    </row>
    <row r="39">
      <c r="A39">
        <f t="shared" si="949"/>
        <v>33</v>
      </c>
      <c r="B39">
        <v>1.4224628570818738</v>
      </c>
      <c r="C39">
        <f t="shared" si="950"/>
        <v>1.2810446629007599</v>
      </c>
      <c r="E39">
        <f t="shared" si="951"/>
        <v>32</v>
      </c>
      <c r="F39">
        <f t="shared" si="952"/>
        <v>-0.61077144818691798</v>
      </c>
      <c r="G39">
        <f t="shared" si="953"/>
        <v>-1.06316776057537</v>
      </c>
      <c r="V39">
        <f t="shared" si="943"/>
        <v>32</v>
      </c>
      <c r="W39">
        <f t="shared" si="944"/>
        <v>-0.61077144818691798</v>
      </c>
      <c r="X39">
        <f t="shared" si="945"/>
        <v>-1.06316776057537</v>
      </c>
      <c r="Y39">
        <f t="shared" si="946"/>
        <v>0.45239631238845207</v>
      </c>
      <c r="Z39">
        <f t="shared" si="937"/>
        <v>1.0293707782163699</v>
      </c>
      <c r="AA39">
        <f t="shared" si="947"/>
        <v>-1.5651332402059499</v>
      </c>
      <c r="AB39">
        <f t="shared" si="948"/>
        <v>2.4699258649828502</v>
      </c>
      <c r="AD39">
        <f t="shared" si="954"/>
        <v>32</v>
      </c>
      <c r="AE39">
        <f t="shared" si="955"/>
        <v>-0.61077144818691798</v>
      </c>
    </row>
    <row r="40">
      <c r="A40">
        <f t="shared" si="949"/>
        <v>34</v>
      </c>
      <c r="B40">
        <v>-1.5344845213207501</v>
      </c>
      <c r="C40">
        <f t="shared" si="950"/>
        <v>-0.92224582870659189</v>
      </c>
      <c r="E40">
        <f t="shared" si="951"/>
        <v>33</v>
      </c>
      <c r="F40">
        <f t="shared" si="952"/>
        <v>1.2810446629007599</v>
      </c>
      <c r="G40">
        <f t="shared" si="953"/>
        <v>1.27198373726092</v>
      </c>
      <c r="V40">
        <f t="shared" si="943"/>
        <v>33</v>
      </c>
      <c r="W40">
        <f t="shared" si="944"/>
        <v>1.2810446629007599</v>
      </c>
      <c r="X40">
        <f t="shared" si="945"/>
        <v>1.27198373726092</v>
      </c>
      <c r="Y40">
        <f t="shared" si="946"/>
        <v>9.0609256398399996e-03</v>
      </c>
      <c r="Z40">
        <f t="shared" si="937"/>
        <v>1.0293707782163699</v>
      </c>
      <c r="AA40">
        <f t="shared" si="947"/>
        <v>-2.00846862695456</v>
      </c>
      <c r="AB40">
        <f t="shared" si="948"/>
        <v>2.0265904782342399</v>
      </c>
      <c r="AD40">
        <f t="shared" si="954"/>
        <v>33</v>
      </c>
      <c r="AE40">
        <f t="shared" si="955"/>
        <v>1.2810446629007599</v>
      </c>
    </row>
    <row r="41">
      <c r="A41">
        <f t="shared" si="949"/>
        <v>35</v>
      </c>
      <c r="B41">
        <v>-0.23943486259011687</v>
      </c>
      <c r="C41">
        <f t="shared" si="950"/>
        <v>-0.57811003842058095</v>
      </c>
      <c r="E41">
        <f t="shared" si="951"/>
        <v>34</v>
      </c>
      <c r="F41">
        <f t="shared" si="952"/>
        <v>-0.92224582870659189</v>
      </c>
      <c r="G41">
        <f t="shared" si="953"/>
        <v>-1.28933445210318</v>
      </c>
      <c r="V41">
        <f t="shared" si="943"/>
        <v>34</v>
      </c>
      <c r="W41">
        <f t="shared" si="944"/>
        <v>-0.92224582870659189</v>
      </c>
      <c r="X41">
        <f t="shared" si="945"/>
        <v>-1.28933445210318</v>
      </c>
      <c r="Y41">
        <f t="shared" si="946"/>
        <v>0.36708862339658799</v>
      </c>
      <c r="Z41">
        <f t="shared" si="937"/>
        <v>1.0293707782163699</v>
      </c>
      <c r="AA41">
        <f t="shared" si="947"/>
        <v>-1.6504409291978099</v>
      </c>
      <c r="AB41">
        <f t="shared" si="948"/>
        <v>2.3846181759909899</v>
      </c>
      <c r="AD41">
        <f t="shared" si="954"/>
        <v>34</v>
      </c>
      <c r="AE41">
        <f t="shared" si="955"/>
        <v>-0.92224582870659189</v>
      </c>
    </row>
    <row r="42">
      <c r="A42">
        <f t="shared" si="949"/>
        <v>36</v>
      </c>
      <c r="B42">
        <v>1.1254873384110666</v>
      </c>
      <c r="C42">
        <f t="shared" si="950"/>
        <v>0.76869728403468596</v>
      </c>
      <c r="E42">
        <f t="shared" si="951"/>
        <v>35</v>
      </c>
      <c r="F42">
        <f t="shared" si="952"/>
        <v>-0.57811003842058095</v>
      </c>
      <c r="G42">
        <f t="shared" si="953"/>
        <v>-0.46442129908813001</v>
      </c>
      <c r="V42">
        <f t="shared" si="943"/>
        <v>35</v>
      </c>
      <c r="W42">
        <f t="shared" si="944"/>
        <v>-0.57811003842058095</v>
      </c>
      <c r="X42">
        <f t="shared" si="945"/>
        <v>-0.46442129908813001</v>
      </c>
      <c r="Y42">
        <f t="shared" si="946"/>
        <v>-0.11368873933245101</v>
      </c>
      <c r="Z42">
        <f t="shared" si="937"/>
        <v>1.0293707782163699</v>
      </c>
      <c r="AA42">
        <f t="shared" si="947"/>
        <v>-2.1312182919268499</v>
      </c>
      <c r="AB42">
        <f t="shared" si="948"/>
        <v>1.90384081326195</v>
      </c>
      <c r="AD42">
        <f t="shared" si="954"/>
        <v>35</v>
      </c>
      <c r="AE42">
        <f t="shared" si="955"/>
        <v>-0.57811003842058095</v>
      </c>
    </row>
    <row r="43">
      <c r="A43">
        <f t="shared" si="949"/>
        <v>37</v>
      </c>
      <c r="B43">
        <v>-0.26828564280553119</v>
      </c>
      <c r="C43">
        <f t="shared" si="950"/>
        <v>4.4704988336535002e-02</v>
      </c>
      <c r="E43">
        <f t="shared" si="951"/>
        <v>36</v>
      </c>
      <c r="F43">
        <f t="shared" si="952"/>
        <v>0.76869728403468596</v>
      </c>
      <c r="G43">
        <f t="shared" si="953"/>
        <v>0.97853137898301001</v>
      </c>
      <c r="V43">
        <f t="shared" si="943"/>
        <v>36</v>
      </c>
      <c r="W43">
        <f t="shared" si="944"/>
        <v>0.76869728403468596</v>
      </c>
      <c r="X43">
        <f t="shared" si="945"/>
        <v>0.97853137898301001</v>
      </c>
      <c r="Y43">
        <f t="shared" si="946"/>
        <v>-0.209834094948324</v>
      </c>
      <c r="Z43">
        <f t="shared" si="937"/>
        <v>1.0293707782163699</v>
      </c>
      <c r="AA43">
        <f t="shared" si="947"/>
        <v>-2.2273636475427199</v>
      </c>
      <c r="AB43">
        <f t="shared" si="948"/>
        <v>1.80769545764608</v>
      </c>
      <c r="AD43">
        <f t="shared" si="954"/>
        <v>36</v>
      </c>
      <c r="AE43">
        <f t="shared" si="955"/>
        <v>0.76869728403468596</v>
      </c>
    </row>
    <row r="44">
      <c r="A44">
        <f t="shared" si="949"/>
        <v>38</v>
      </c>
      <c r="B44">
        <v>-0.5822900860434399</v>
      </c>
      <c r="C44">
        <f t="shared" si="950"/>
        <v>-0.49733946564675902</v>
      </c>
      <c r="E44">
        <f t="shared" si="951"/>
        <v>37</v>
      </c>
      <c r="F44">
        <f t="shared" si="952"/>
        <v>4.4704988336535002e-02</v>
      </c>
      <c r="G44">
        <f t="shared" si="953"/>
        <v>-8.8803122736444987e-02</v>
      </c>
      <c r="V44">
        <f t="shared" si="943"/>
        <v>37</v>
      </c>
      <c r="W44">
        <f t="shared" si="944"/>
        <v>4.4704988336535002e-02</v>
      </c>
      <c r="X44">
        <f t="shared" si="945"/>
        <v>-8.8803122736444987e-02</v>
      </c>
      <c r="Y44">
        <f t="shared" si="946"/>
        <v>0.13350811107298</v>
      </c>
      <c r="Z44">
        <f t="shared" si="937"/>
        <v>1.0293707782163699</v>
      </c>
      <c r="AA44">
        <f t="shared" si="947"/>
        <v>-1.88402144152142</v>
      </c>
      <c r="AB44">
        <f t="shared" si="948"/>
        <v>2.1510376636673798</v>
      </c>
      <c r="AD44">
        <f t="shared" si="954"/>
        <v>37</v>
      </c>
      <c r="AE44">
        <f t="shared" si="955"/>
        <v>4.4704988336535002e-02</v>
      </c>
    </row>
    <row r="45">
      <c r="A45">
        <f t="shared" si="949"/>
        <v>39</v>
      </c>
      <c r="B45">
        <v>2.2483238493907365</v>
      </c>
      <c r="C45">
        <f t="shared" si="950"/>
        <v>2.0166442406466998</v>
      </c>
      <c r="E45">
        <f t="shared" si="951"/>
        <v>38</v>
      </c>
      <c r="F45">
        <f t="shared" si="952"/>
        <v>-0.49733946564675902</v>
      </c>
      <c r="G45">
        <f t="shared" si="953"/>
        <v>-0.56383300212459797</v>
      </c>
      <c r="V45">
        <f t="shared" si="943"/>
        <v>38</v>
      </c>
      <c r="W45">
        <f t="shared" si="944"/>
        <v>-0.49733946564675902</v>
      </c>
      <c r="X45">
        <f t="shared" si="945"/>
        <v>-0.56383300212459797</v>
      </c>
      <c r="Y45">
        <f t="shared" si="946"/>
        <v>6.6493536477838996e-02</v>
      </c>
      <c r="Z45">
        <f t="shared" si="937"/>
        <v>1.0293707782163699</v>
      </c>
      <c r="AA45">
        <f t="shared" si="947"/>
        <v>-1.9510360161165601</v>
      </c>
      <c r="AB45">
        <f t="shared" si="948"/>
        <v>2.08402308907224</v>
      </c>
      <c r="AD45">
        <f t="shared" si="954"/>
        <v>38</v>
      </c>
      <c r="AE45">
        <f t="shared" si="955"/>
        <v>-0.49733946564675902</v>
      </c>
    </row>
    <row r="46">
      <c r="A46">
        <f t="shared" si="949"/>
        <v>40</v>
      </c>
      <c r="B46">
        <v>-1.3543974073052196</v>
      </c>
      <c r="C46">
        <f t="shared" si="950"/>
        <v>-0.39241120873067797</v>
      </c>
      <c r="E46">
        <f t="shared" si="951"/>
        <v>39</v>
      </c>
      <c r="F46">
        <f t="shared" si="952"/>
        <v>2.0166442406466998</v>
      </c>
      <c r="G46">
        <f t="shared" si="953"/>
        <v>2.1309408027449099</v>
      </c>
      <c r="V46">
        <f t="shared" si="943"/>
        <v>39</v>
      </c>
      <c r="W46">
        <f t="shared" si="944"/>
        <v>2.0166442406466998</v>
      </c>
      <c r="X46">
        <f t="shared" si="945"/>
        <v>2.1309408027449099</v>
      </c>
      <c r="Y46">
        <f t="shared" si="946"/>
        <v>-0.11429656209821</v>
      </c>
      <c r="Z46">
        <f t="shared" si="937"/>
        <v>1.0293707782163699</v>
      </c>
      <c r="AA46">
        <f t="shared" si="947"/>
        <v>-2.1318261146926099</v>
      </c>
      <c r="AB46">
        <f t="shared" si="948"/>
        <v>1.90323299049619</v>
      </c>
      <c r="AD46">
        <f t="shared" si="954"/>
        <v>39</v>
      </c>
      <c r="AE46">
        <f t="shared" si="955"/>
        <v>2.0166442406466998</v>
      </c>
    </row>
    <row r="47">
      <c r="A47">
        <f t="shared" si="949"/>
        <v>41</v>
      </c>
      <c r="B47">
        <v>0.48261152802448642</v>
      </c>
      <c r="C47">
        <f t="shared" si="950"/>
        <v>0.47880316337405598</v>
      </c>
      <c r="E47">
        <f t="shared" si="951"/>
        <v>40</v>
      </c>
      <c r="F47">
        <f t="shared" si="952"/>
        <v>-0.39241120873067797</v>
      </c>
      <c r="G47">
        <f t="shared" si="953"/>
        <v>-0.91847250119451795</v>
      </c>
      <c r="V47">
        <f t="shared" si="943"/>
        <v>40</v>
      </c>
      <c r="W47">
        <f t="shared" si="944"/>
        <v>-0.39241120873067797</v>
      </c>
      <c r="X47">
        <f t="shared" si="945"/>
        <v>-0.91847250119451795</v>
      </c>
      <c r="Y47">
        <f t="shared" si="946"/>
        <v>0.52606129246384004</v>
      </c>
      <c r="Z47">
        <f t="shared" si="937"/>
        <v>1.0293707782163699</v>
      </c>
      <c r="AA47">
        <f t="shared" si="947"/>
        <v>-1.49146826013056</v>
      </c>
      <c r="AB47">
        <f t="shared" si="948"/>
        <v>2.5435908450582398</v>
      </c>
      <c r="AD47">
        <f t="shared" si="954"/>
        <v>40</v>
      </c>
      <c r="AE47">
        <f t="shared" si="955"/>
        <v>-0.39241120873067797</v>
      </c>
    </row>
    <row r="48">
      <c r="A48">
        <f t="shared" si="949"/>
        <v>42</v>
      </c>
      <c r="B48">
        <v>-0.10749079290397742</v>
      </c>
      <c r="C48">
        <f t="shared" si="950"/>
        <v>0.13114911585296499</v>
      </c>
      <c r="E48">
        <f t="shared" si="951"/>
        <v>41</v>
      </c>
      <c r="F48">
        <f t="shared" si="952"/>
        <v>0.47880316337405598</v>
      </c>
      <c r="G48">
        <f t="shared" si="953"/>
        <v>0.37810196852572098</v>
      </c>
      <c r="V48">
        <f t="shared" si="943"/>
        <v>41</v>
      </c>
      <c r="W48">
        <f t="shared" si="944"/>
        <v>0.47880316337405598</v>
      </c>
      <c r="X48">
        <f t="shared" si="945"/>
        <v>0.37810196852572098</v>
      </c>
      <c r="Y48">
        <f t="shared" si="946"/>
        <v>0.10070119484833499</v>
      </c>
      <c r="Z48">
        <f t="shared" si="937"/>
        <v>1.0293707782163699</v>
      </c>
      <c r="AA48">
        <f t="shared" si="947"/>
        <v>-1.9168283577460701</v>
      </c>
      <c r="AB48">
        <f t="shared" si="948"/>
        <v>2.1182307474427402</v>
      </c>
      <c r="AD48">
        <f t="shared" si="954"/>
        <v>41</v>
      </c>
      <c r="AE48">
        <f t="shared" si="955"/>
        <v>0.47880316337405598</v>
      </c>
    </row>
    <row r="49">
      <c r="A49">
        <f t="shared" si="949"/>
        <v>43</v>
      </c>
      <c r="B49">
        <v>-0.80304736276954691</v>
      </c>
      <c r="C49">
        <f t="shared" si="950"/>
        <v>-0.68974482309167595</v>
      </c>
      <c r="E49">
        <f t="shared" si="951"/>
        <v>42</v>
      </c>
      <c r="F49">
        <f t="shared" si="952"/>
        <v>0.13114911585296499</v>
      </c>
      <c r="G49">
        <f t="shared" si="953"/>
        <v>-4.5276646840046002e-02</v>
      </c>
      <c r="V49">
        <f t="shared" si="943"/>
        <v>42</v>
      </c>
      <c r="W49">
        <f t="shared" si="944"/>
        <v>0.13114911585296499</v>
      </c>
      <c r="X49">
        <f t="shared" si="945"/>
        <v>-4.5276646840046002e-02</v>
      </c>
      <c r="Y49">
        <f t="shared" si="946"/>
        <v>0.176425762693011</v>
      </c>
      <c r="Z49">
        <f t="shared" si="937"/>
        <v>1.0293707782163699</v>
      </c>
      <c r="AA49">
        <f t="shared" si="947"/>
        <v>-1.84110378990139</v>
      </c>
      <c r="AB49">
        <f t="shared" si="948"/>
        <v>2.1939553152874098</v>
      </c>
      <c r="AD49">
        <f t="shared" si="954"/>
        <v>42</v>
      </c>
      <c r="AE49">
        <f t="shared" si="955"/>
        <v>0.13114911585296499</v>
      </c>
    </row>
    <row r="50">
      <c r="A50">
        <f t="shared" si="949"/>
        <v>44</v>
      </c>
      <c r="B50">
        <v>0.2754508892602448</v>
      </c>
      <c r="C50">
        <f t="shared" si="950"/>
        <v>-4.6761014350019003e-02</v>
      </c>
      <c r="E50">
        <f t="shared" si="951"/>
        <v>43</v>
      </c>
      <c r="F50">
        <f t="shared" si="952"/>
        <v>-0.68974482309167595</v>
      </c>
      <c r="G50">
        <f t="shared" si="953"/>
        <v>-0.79806084870800897</v>
      </c>
      <c r="V50">
        <f t="shared" si="943"/>
        <v>43</v>
      </c>
      <c r="W50">
        <f t="shared" si="944"/>
        <v>-0.68974482309167595</v>
      </c>
      <c r="X50">
        <f t="shared" si="945"/>
        <v>-0.79806084870800897</v>
      </c>
      <c r="Y50">
        <f t="shared" si="946"/>
        <v>0.10831602561633299</v>
      </c>
      <c r="Z50">
        <f t="shared" si="937"/>
        <v>1.0293707782163699</v>
      </c>
      <c r="AA50">
        <f t="shared" si="947"/>
        <v>-1.9092135269780699</v>
      </c>
      <c r="AB50">
        <f t="shared" si="948"/>
        <v>2.1258455782107299</v>
      </c>
      <c r="AD50">
        <f t="shared" si="954"/>
        <v>43</v>
      </c>
      <c r="AE50">
        <f t="shared" si="955"/>
        <v>-0.68974482309167595</v>
      </c>
    </row>
    <row r="51">
      <c r="A51">
        <f t="shared" si="949"/>
        <v>45</v>
      </c>
      <c r="B51">
        <v>1.990693199567108e-02</v>
      </c>
      <c r="C51">
        <f t="shared" si="950"/>
        <v>-6.7915955901391004e-02</v>
      </c>
      <c r="E51">
        <f t="shared" si="951"/>
        <v>44</v>
      </c>
      <c r="F51">
        <f t="shared" si="952"/>
        <v>-4.6761014350019003e-02</v>
      </c>
      <c r="G51">
        <f t="shared" si="953"/>
        <v>0.10526498615667798</v>
      </c>
      <c r="V51">
        <f t="shared" si="943"/>
        <v>44</v>
      </c>
      <c r="W51">
        <f t="shared" si="944"/>
        <v>-4.6761014350019003e-02</v>
      </c>
      <c r="X51">
        <f t="shared" si="945"/>
        <v>0.10526498615667798</v>
      </c>
      <c r="Y51">
        <f t="shared" si="946"/>
        <v>-0.15202600050669701</v>
      </c>
      <c r="Z51">
        <f t="shared" si="937"/>
        <v>1.0293707782163699</v>
      </c>
      <c r="AA51">
        <f t="shared" si="947"/>
        <v>-2.1695555531010999</v>
      </c>
      <c r="AB51">
        <f t="shared" si="948"/>
        <v>1.8655035520876999</v>
      </c>
      <c r="AD51">
        <f t="shared" si="954"/>
        <v>44</v>
      </c>
      <c r="AE51">
        <f t="shared" si="955"/>
        <v>-4.6761014350019003e-02</v>
      </c>
    </row>
    <row r="52">
      <c r="A52">
        <f t="shared" si="949"/>
        <v>46</v>
      </c>
      <c r="B52">
        <v>1.6866252840670588</v>
      </c>
      <c r="C52">
        <f t="shared" si="950"/>
        <v>1.6351027285369599</v>
      </c>
      <c r="E52">
        <f t="shared" si="951"/>
        <v>45</v>
      </c>
      <c r="F52">
        <f t="shared" si="952"/>
        <v>-6.7915955901391004e-02</v>
      </c>
      <c r="G52">
        <f t="shared" si="953"/>
        <v>6.6245366084950012e-03</v>
      </c>
      <c r="V52">
        <f t="shared" si="943"/>
        <v>45</v>
      </c>
      <c r="W52">
        <f t="shared" si="944"/>
        <v>-6.7915955901391004e-02</v>
      </c>
      <c r="X52">
        <f t="shared" si="945"/>
        <v>6.6245366084950012e-03</v>
      </c>
      <c r="Y52">
        <f t="shared" si="946"/>
        <v>-7.4540492509885994e-02</v>
      </c>
      <c r="Z52">
        <f t="shared" si="937"/>
        <v>1.0293707782163699</v>
      </c>
      <c r="AA52">
        <f t="shared" si="947"/>
        <v>-2.0920700451042902</v>
      </c>
      <c r="AB52">
        <f t="shared" si="948"/>
        <v>1.9429890600845099</v>
      </c>
      <c r="AD52">
        <f t="shared" si="954"/>
        <v>45</v>
      </c>
      <c r="AE52">
        <f t="shared" si="955"/>
        <v>-6.7915955901391004e-02</v>
      </c>
    </row>
    <row r="53">
      <c r="A53">
        <f t="shared" si="949"/>
        <v>47</v>
      </c>
      <c r="B53">
        <v>-0.37900350643042596</v>
      </c>
      <c r="C53">
        <f t="shared" si="950"/>
        <v>0.42824334673203202</v>
      </c>
      <c r="E53">
        <f t="shared" si="951"/>
        <v>46</v>
      </c>
      <c r="F53">
        <f t="shared" si="952"/>
        <v>1.6351027285369599</v>
      </c>
      <c r="G53">
        <f t="shared" si="953"/>
        <v>1.6844143331127599</v>
      </c>
      <c r="V53">
        <f t="shared" si="943"/>
        <v>46</v>
      </c>
      <c r="W53">
        <f t="shared" si="944"/>
        <v>1.6351027285369599</v>
      </c>
      <c r="X53">
        <f t="shared" si="945"/>
        <v>1.6844143331127599</v>
      </c>
      <c r="Y53">
        <f t="shared" si="946"/>
        <v>-4.93116045758e-02</v>
      </c>
      <c r="Z53">
        <f t="shared" si="937"/>
        <v>1.0293707782163699</v>
      </c>
      <c r="AA53">
        <f t="shared" si="947"/>
        <v>-2.0668411571702001</v>
      </c>
      <c r="AB53">
        <f t="shared" si="948"/>
        <v>1.9682179480185999</v>
      </c>
      <c r="AD53">
        <f t="shared" si="954"/>
        <v>46</v>
      </c>
      <c r="AE53">
        <f t="shared" si="955"/>
        <v>1.6351027285369599</v>
      </c>
    </row>
    <row r="54">
      <c r="A54">
        <f t="shared" si="949"/>
        <v>48</v>
      </c>
      <c r="B54">
        <v>-0.68133999121505795</v>
      </c>
      <c r="C54">
        <f t="shared" si="950"/>
        <v>-0.30576894721655101</v>
      </c>
      <c r="E54">
        <f t="shared" si="951"/>
        <v>47</v>
      </c>
      <c r="F54">
        <f t="shared" si="952"/>
        <v>0.42824334673203202</v>
      </c>
      <c r="G54">
        <f t="shared" si="953"/>
        <v>-1.5765611727359002e-02</v>
      </c>
      <c r="V54">
        <f t="shared" si="943"/>
        <v>47</v>
      </c>
      <c r="W54">
        <f t="shared" si="944"/>
        <v>0.42824334673203202</v>
      </c>
      <c r="X54">
        <f t="shared" si="945"/>
        <v>-1.5765611727359002e-02</v>
      </c>
      <c r="Y54">
        <f t="shared" si="946"/>
        <v>0.44400895845939098</v>
      </c>
      <c r="Z54">
        <f t="shared" si="937"/>
        <v>1.0293707782163699</v>
      </c>
      <c r="AA54">
        <f t="shared" si="947"/>
        <v>-1.5735205941350101</v>
      </c>
      <c r="AB54">
        <f t="shared" si="948"/>
        <v>2.46153851105379</v>
      </c>
      <c r="AD54">
        <f t="shared" si="954"/>
        <v>47</v>
      </c>
      <c r="AE54">
        <f t="shared" si="955"/>
        <v>0.42824334673203202</v>
      </c>
    </row>
    <row r="55">
      <c r="A55">
        <f t="shared" si="949"/>
        <v>49</v>
      </c>
      <c r="B55">
        <v>0.24680727410891504</v>
      </c>
      <c r="C55">
        <f t="shared" si="950"/>
        <v>0.16903700930034099</v>
      </c>
      <c r="E55">
        <f t="shared" si="951"/>
        <v>48</v>
      </c>
      <c r="F55">
        <f t="shared" si="952"/>
        <v>-0.30576894721655101</v>
      </c>
      <c r="G55">
        <f t="shared" si="953"/>
        <v>-0.60622127492283495</v>
      </c>
      <c r="V55">
        <f t="shared" si="943"/>
        <v>48</v>
      </c>
      <c r="W55">
        <f t="shared" si="944"/>
        <v>-0.30576894721655101</v>
      </c>
      <c r="X55">
        <f t="shared" si="945"/>
        <v>-0.60622127492283495</v>
      </c>
      <c r="Y55">
        <f t="shared" si="946"/>
        <v>0.30045232770628399</v>
      </c>
      <c r="Z55">
        <f t="shared" si="937"/>
        <v>1.0293707782163699</v>
      </c>
      <c r="AA55">
        <f t="shared" si="947"/>
        <v>-1.7170772248881201</v>
      </c>
      <c r="AB55">
        <f t="shared" si="948"/>
        <v>2.31798188030068</v>
      </c>
      <c r="AD55">
        <f t="shared" si="954"/>
        <v>48</v>
      </c>
      <c r="AE55">
        <f t="shared" si="955"/>
        <v>-0.30576894721655101</v>
      </c>
    </row>
    <row r="56">
      <c r="A56">
        <f t="shared" si="949"/>
        <v>50</v>
      </c>
      <c r="B56">
        <v>0.41769144074806713</v>
      </c>
      <c r="C56">
        <f t="shared" si="950"/>
        <v>0.48665589243652302</v>
      </c>
      <c r="E56">
        <f t="shared" si="951"/>
        <v>49</v>
      </c>
      <c r="F56">
        <f t="shared" si="952"/>
        <v>0.16903700930034099</v>
      </c>
      <c r="G56">
        <f t="shared" si="953"/>
        <v>0.134687046867353</v>
      </c>
      <c r="V56">
        <f t="shared" si="943"/>
        <v>49</v>
      </c>
      <c r="W56">
        <f t="shared" si="944"/>
        <v>0.16903700930034099</v>
      </c>
      <c r="X56">
        <f t="shared" si="945"/>
        <v>0.134687046867353</v>
      </c>
      <c r="Y56">
        <f t="shared" si="946"/>
        <v>3.4349962432987997e-02</v>
      </c>
      <c r="Z56">
        <f t="shared" si="937"/>
        <v>1.0293707782163699</v>
      </c>
      <c r="AA56">
        <f t="shared" si="947"/>
        <v>-1.98317959016141</v>
      </c>
      <c r="AB56">
        <f t="shared" si="948"/>
        <v>2.0518795150273901</v>
      </c>
      <c r="AD56">
        <f t="shared" si="954"/>
        <v>49</v>
      </c>
      <c r="AE56">
        <f t="shared" si="955"/>
        <v>0.16903700930034099</v>
      </c>
    </row>
    <row r="57">
      <c r="A57">
        <f t="shared" si="949"/>
        <v>51</v>
      </c>
      <c r="B57">
        <v>0.39902892938942136</v>
      </c>
      <c r="C57">
        <f t="shared" si="950"/>
        <v>0.656149765945374</v>
      </c>
      <c r="E57">
        <f t="shared" si="951"/>
        <v>50</v>
      </c>
      <c r="F57">
        <f t="shared" si="952"/>
        <v>0.48665589243652302</v>
      </c>
      <c r="G57">
        <f t="shared" si="953"/>
        <v>0.42485474562703301</v>
      </c>
      <c r="V57">
        <f t="shared" si="943"/>
        <v>50</v>
      </c>
      <c r="W57">
        <f t="shared" si="944"/>
        <v>0.48665589243652302</v>
      </c>
      <c r="X57">
        <f t="shared" si="945"/>
        <v>0.42485474562703301</v>
      </c>
      <c r="Y57">
        <f t="shared" si="946"/>
        <v>6.180114680948999e-02</v>
      </c>
      <c r="Z57">
        <f t="shared" si="937"/>
        <v>1.0293707782163699</v>
      </c>
      <c r="AA57">
        <f t="shared" si="947"/>
        <v>-1.95572840578491</v>
      </c>
      <c r="AB57">
        <f t="shared" si="948"/>
        <v>2.07933069940389</v>
      </c>
      <c r="AD57">
        <f t="shared" si="954"/>
        <v>50</v>
      </c>
      <c r="AE57">
        <f t="shared" si="955"/>
        <v>0.48665589243652302</v>
      </c>
    </row>
    <row r="58">
      <c r="A58">
        <f t="shared" si="949"/>
        <v>52</v>
      </c>
      <c r="B58">
        <v>-0.25018139554307461</v>
      </c>
      <c r="C58">
        <f t="shared" si="950"/>
        <v>0.12931765474080301</v>
      </c>
      <c r="E58">
        <f t="shared" si="951"/>
        <v>51</v>
      </c>
      <c r="F58">
        <f t="shared" si="952"/>
        <v>0.656149765945374</v>
      </c>
      <c r="G58">
        <f t="shared" si="953"/>
        <v>0.49317486298248292</v>
      </c>
      <c r="V58">
        <f t="shared" si="943"/>
        <v>51</v>
      </c>
      <c r="W58">
        <f t="shared" si="944"/>
        <v>0.656149765945374</v>
      </c>
      <c r="X58">
        <f t="shared" si="945"/>
        <v>0.49317486298248292</v>
      </c>
      <c r="Y58">
        <f t="shared" si="946"/>
        <v>0.16297490296289099</v>
      </c>
      <c r="Z58">
        <f t="shared" si="937"/>
        <v>1.0293707782163699</v>
      </c>
      <c r="AA58">
        <f t="shared" si="947"/>
        <v>-1.85455464963151</v>
      </c>
      <c r="AB58">
        <f t="shared" si="948"/>
        <v>2.1805044555572901</v>
      </c>
      <c r="AD58">
        <f t="shared" si="954"/>
        <v>51</v>
      </c>
      <c r="AE58">
        <f t="shared" si="955"/>
        <v>0.656149765945374</v>
      </c>
    </row>
    <row r="59">
      <c r="A59">
        <f t="shared" si="949"/>
        <v>53</v>
      </c>
      <c r="B59">
        <v>-1.1742528233216154</v>
      </c>
      <c r="C59">
        <f t="shared" si="950"/>
        <v>-1.0336941858944499</v>
      </c>
      <c r="E59">
        <f t="shared" si="951"/>
        <v>52</v>
      </c>
      <c r="F59">
        <f t="shared" si="952"/>
        <v>0.12931765474080301</v>
      </c>
      <c r="G59">
        <f t="shared" si="953"/>
        <v>-0.12252140867981201</v>
      </c>
      <c r="V59">
        <f t="shared" si="943"/>
        <v>52</v>
      </c>
      <c r="W59">
        <f t="shared" si="944"/>
        <v>0.12931765474080301</v>
      </c>
      <c r="X59">
        <f t="shared" si="945"/>
        <v>-0.12252140867981201</v>
      </c>
      <c r="Y59">
        <f t="shared" si="946"/>
        <v>0.25183906342061502</v>
      </c>
      <c r="Z59">
        <f t="shared" si="937"/>
        <v>1.0293707782163699</v>
      </c>
      <c r="AA59">
        <f t="shared" si="947"/>
        <v>-1.7656904891737899</v>
      </c>
      <c r="AB59">
        <f t="shared" si="948"/>
        <v>2.2693686160150199</v>
      </c>
      <c r="AD59">
        <f t="shared" si="954"/>
        <v>52</v>
      </c>
      <c r="AE59">
        <f t="shared" si="955"/>
        <v>0.12931765474080301</v>
      </c>
    </row>
    <row r="60">
      <c r="A60">
        <f t="shared" si="949"/>
        <v>54</v>
      </c>
      <c r="B60">
        <v>-1.404513152364584</v>
      </c>
      <c r="C60">
        <f t="shared" si="950"/>
        <v>-1.89324851782638</v>
      </c>
      <c r="E60">
        <f t="shared" si="951"/>
        <v>53</v>
      </c>
      <c r="F60">
        <f t="shared" si="952"/>
        <v>-1.0336941858944499</v>
      </c>
      <c r="G60">
        <f t="shared" si="953"/>
        <v>-1.17188602945575</v>
      </c>
      <c r="V60">
        <f t="shared" si="943"/>
        <v>53</v>
      </c>
      <c r="W60">
        <f t="shared" si="944"/>
        <v>-1.0336941858944499</v>
      </c>
      <c r="X60">
        <f t="shared" si="945"/>
        <v>-1.17188602945575</v>
      </c>
      <c r="Y60">
        <f t="shared" si="946"/>
        <v>0.13819184356129999</v>
      </c>
      <c r="Z60">
        <f t="shared" si="937"/>
        <v>1.0293707782163699</v>
      </c>
      <c r="AA60">
        <f t="shared" si="947"/>
        <v>-1.8793377090331</v>
      </c>
      <c r="AB60">
        <f t="shared" si="948"/>
        <v>2.1557213961557</v>
      </c>
      <c r="AD60">
        <f t="shared" si="954"/>
        <v>53</v>
      </c>
      <c r="AE60">
        <f t="shared" si="955"/>
        <v>-1.0336941858944499</v>
      </c>
    </row>
    <row r="61">
      <c r="A61">
        <f t="shared" si="949"/>
        <v>55</v>
      </c>
      <c r="B61">
        <v>-0.28172987991615123</v>
      </c>
      <c r="C61">
        <f t="shared" si="950"/>
        <v>-1.3261012119216999</v>
      </c>
      <c r="E61">
        <f t="shared" si="951"/>
        <v>54</v>
      </c>
      <c r="F61">
        <f t="shared" si="952"/>
        <v>-1.89324851782638</v>
      </c>
      <c r="G61">
        <f t="shared" si="953"/>
        <v>-1.6556844250799301</v>
      </c>
      <c r="V61">
        <f t="shared" si="943"/>
        <v>54</v>
      </c>
      <c r="W61">
        <f t="shared" si="944"/>
        <v>-1.89324851782638</v>
      </c>
      <c r="X61">
        <f t="shared" si="945"/>
        <v>-1.6556844250799301</v>
      </c>
      <c r="Y61">
        <f t="shared" si="946"/>
        <v>-0.23756409274645002</v>
      </c>
      <c r="Z61">
        <f t="shared" si="937"/>
        <v>1.0293707782163699</v>
      </c>
      <c r="AA61">
        <f t="shared" si="947"/>
        <v>-2.2550936453408501</v>
      </c>
      <c r="AB61">
        <f t="shared" si="948"/>
        <v>1.77996545984795</v>
      </c>
      <c r="AD61">
        <f t="shared" si="954"/>
        <v>54</v>
      </c>
      <c r="AE61">
        <f t="shared" si="955"/>
        <v>-1.89324851782638</v>
      </c>
    </row>
    <row r="62">
      <c r="A62">
        <f t="shared" si="949"/>
        <v>56</v>
      </c>
      <c r="B62">
        <v>-0.38821298272001858</v>
      </c>
      <c r="C62">
        <f t="shared" si="950"/>
        <v>-1.26013785508198</v>
      </c>
      <c r="E62">
        <f t="shared" si="951"/>
        <v>55</v>
      </c>
      <c r="F62">
        <f t="shared" si="952"/>
        <v>-1.3261012119216999</v>
      </c>
      <c r="G62">
        <f t="shared" si="953"/>
        <v>-0.69322989019605596</v>
      </c>
      <c r="V62">
        <f t="shared" si="943"/>
        <v>55</v>
      </c>
      <c r="W62">
        <f t="shared" si="944"/>
        <v>-1.3261012119216999</v>
      </c>
      <c r="X62">
        <f t="shared" si="945"/>
        <v>-0.69322989019605596</v>
      </c>
      <c r="Y62">
        <f t="shared" si="946"/>
        <v>-0.63287132172564398</v>
      </c>
      <c r="Z62">
        <f t="shared" si="937"/>
        <v>1.0293707782163699</v>
      </c>
      <c r="AA62">
        <f t="shared" si="947"/>
        <v>-2.6504008743200398</v>
      </c>
      <c r="AB62">
        <f t="shared" si="948"/>
        <v>1.3846582308687601</v>
      </c>
      <c r="AD62">
        <f t="shared" si="954"/>
        <v>55</v>
      </c>
      <c r="AE62">
        <f t="shared" si="955"/>
        <v>-1.3261012119216999</v>
      </c>
    </row>
    <row r="63">
      <c r="A63">
        <f t="shared" si="949"/>
        <v>57</v>
      </c>
      <c r="B63">
        <v>-0.43156998564742921</v>
      </c>
      <c r="C63">
        <f t="shared" si="950"/>
        <v>-1.2360238876608201</v>
      </c>
      <c r="E63">
        <f t="shared" si="951"/>
        <v>56</v>
      </c>
      <c r="F63">
        <f t="shared" si="952"/>
        <v>-1.26013785508198</v>
      </c>
      <c r="G63">
        <f t="shared" si="953"/>
        <v>-0.628839108882289</v>
      </c>
      <c r="V63">
        <f t="shared" si="943"/>
        <v>56</v>
      </c>
      <c r="W63">
        <f t="shared" si="944"/>
        <v>-1.26013785508198</v>
      </c>
      <c r="X63">
        <f t="shared" si="945"/>
        <v>-0.628839108882289</v>
      </c>
      <c r="Y63">
        <f t="shared" si="946"/>
        <v>-0.63129874619969095</v>
      </c>
      <c r="Z63">
        <f t="shared" si="937"/>
        <v>1.0293707782163699</v>
      </c>
      <c r="AA63">
        <f t="shared" si="947"/>
        <v>-2.6488282987940899</v>
      </c>
      <c r="AB63">
        <f t="shared" si="948"/>
        <v>1.38623080639471</v>
      </c>
      <c r="AD63">
        <f t="shared" si="954"/>
        <v>56</v>
      </c>
      <c r="AE63">
        <f t="shared" si="955"/>
        <v>-1.26013785508198</v>
      </c>
    </row>
    <row r="64">
      <c r="A64">
        <f t="shared" si="949"/>
        <v>58</v>
      </c>
      <c r="B64">
        <v>1.386535004851783</v>
      </c>
      <c r="C64">
        <f t="shared" si="950"/>
        <v>0.60763228061869201</v>
      </c>
      <c r="E64">
        <f t="shared" si="951"/>
        <v>57</v>
      </c>
      <c r="F64">
        <f t="shared" si="952"/>
        <v>-1.2360238876608201</v>
      </c>
      <c r="G64">
        <f t="shared" si="953"/>
        <v>-0.62407299217363299</v>
      </c>
      <c r="V64">
        <f t="shared" si="943"/>
        <v>57</v>
      </c>
      <c r="W64">
        <f t="shared" si="944"/>
        <v>-1.2360238876608201</v>
      </c>
      <c r="X64">
        <f t="shared" si="945"/>
        <v>-0.62407299217363299</v>
      </c>
      <c r="Y64">
        <f t="shared" si="946"/>
        <v>-0.61195089548718695</v>
      </c>
      <c r="Z64">
        <f t="shared" si="937"/>
        <v>1.0293707782163699</v>
      </c>
      <c r="AA64">
        <f t="shared" si="947"/>
        <v>-2.6294804480815901</v>
      </c>
      <c r="AB64">
        <f t="shared" si="948"/>
        <v>1.40557865710721</v>
      </c>
      <c r="AD64">
        <f t="shared" si="954"/>
        <v>57</v>
      </c>
      <c r="AE64">
        <f t="shared" si="955"/>
        <v>-1.2360238876608201</v>
      </c>
    </row>
    <row r="65">
      <c r="A65">
        <f t="shared" si="949"/>
        <v>59</v>
      </c>
      <c r="B65">
        <v>-1.3017512220934879</v>
      </c>
      <c r="C65">
        <f t="shared" si="950"/>
        <v>-1.15371562663076</v>
      </c>
      <c r="E65">
        <f t="shared" si="951"/>
        <v>58</v>
      </c>
      <c r="F65">
        <f t="shared" si="952"/>
        <v>0.60763228061869201</v>
      </c>
      <c r="G65">
        <f t="shared" si="953"/>
        <v>1.20494379238164</v>
      </c>
      <c r="V65">
        <f t="shared" si="943"/>
        <v>58</v>
      </c>
      <c r="W65">
        <f t="shared" si="944"/>
        <v>0.60763228061869201</v>
      </c>
      <c r="X65">
        <f t="shared" si="945"/>
        <v>1.20494379238164</v>
      </c>
      <c r="Y65">
        <f t="shared" si="946"/>
        <v>-0.59731151176294806</v>
      </c>
      <c r="Z65">
        <f t="shared" si="937"/>
        <v>1.0293707782163699</v>
      </c>
      <c r="AA65">
        <f t="shared" si="947"/>
        <v>-2.6148410643573499</v>
      </c>
      <c r="AB65">
        <f t="shared" si="948"/>
        <v>1.42021804083145</v>
      </c>
      <c r="AD65">
        <f t="shared" si="954"/>
        <v>58</v>
      </c>
      <c r="AE65">
        <f t="shared" si="955"/>
        <v>0.60763228061869201</v>
      </c>
    </row>
    <row r="66">
      <c r="A66">
        <f t="shared" si="949"/>
        <v>60</v>
      </c>
      <c r="B66">
        <v>-1.2553188286181356</v>
      </c>
      <c r="C66">
        <f t="shared" si="950"/>
        <v>-1.8025695228409699</v>
      </c>
      <c r="E66">
        <f t="shared" si="951"/>
        <v>59</v>
      </c>
      <c r="F66">
        <f t="shared" si="952"/>
        <v>-1.15371562663076</v>
      </c>
      <c r="G66">
        <f t="shared" si="953"/>
        <v>-1.0853558865038799</v>
      </c>
      <c r="V66">
        <f t="shared" si="943"/>
        <v>59</v>
      </c>
      <c r="W66">
        <f t="shared" si="944"/>
        <v>-1.15371562663076</v>
      </c>
      <c r="X66">
        <f t="shared" si="945"/>
        <v>-1.0853558865038799</v>
      </c>
      <c r="Y66">
        <f t="shared" si="946"/>
        <v>-6.8359740126880009e-02</v>
      </c>
      <c r="Z66">
        <f t="shared" si="937"/>
        <v>1.0293707782163699</v>
      </c>
      <c r="AA66">
        <f t="shared" si="947"/>
        <v>-2.08588929272128</v>
      </c>
      <c r="AB66">
        <f t="shared" si="948"/>
        <v>1.9491698124675201</v>
      </c>
      <c r="AD66">
        <f t="shared" si="954"/>
        <v>59</v>
      </c>
      <c r="AE66">
        <f t="shared" si="955"/>
        <v>-1.15371562663076</v>
      </c>
    </row>
    <row r="67">
      <c r="A67">
        <f t="shared" si="949"/>
        <v>61</v>
      </c>
      <c r="B67">
        <v>0.71120271461460161</v>
      </c>
      <c r="C67">
        <f t="shared" si="950"/>
        <v>-0.29953218565044998</v>
      </c>
      <c r="E67">
        <f t="shared" si="951"/>
        <v>60</v>
      </c>
      <c r="F67">
        <f t="shared" si="952"/>
        <v>-1.8025695228409699</v>
      </c>
      <c r="G67">
        <f t="shared" si="953"/>
        <v>-1.44770411913752</v>
      </c>
      <c r="V67">
        <f t="shared" si="943"/>
        <v>60</v>
      </c>
      <c r="W67">
        <f t="shared" si="944"/>
        <v>-1.8025695228409699</v>
      </c>
      <c r="X67">
        <f t="shared" si="945"/>
        <v>-1.44770411913752</v>
      </c>
      <c r="Y67">
        <f t="shared" si="946"/>
        <v>-0.35486540370344999</v>
      </c>
      <c r="Z67">
        <f t="shared" si="937"/>
        <v>1.0293707782163699</v>
      </c>
      <c r="AA67">
        <f t="shared" si="947"/>
        <v>-2.3723949562978501</v>
      </c>
      <c r="AB67">
        <f t="shared" si="948"/>
        <v>1.6626641488909499</v>
      </c>
      <c r="AD67">
        <f t="shared" si="954"/>
        <v>60</v>
      </c>
      <c r="AE67">
        <f t="shared" si="955"/>
        <v>-1.8025695228409699</v>
      </c>
    </row>
    <row r="68">
      <c r="A68">
        <f t="shared" si="949"/>
        <v>62</v>
      </c>
      <c r="B68">
        <v>-0.14927846160621394</v>
      </c>
      <c r="C68">
        <f t="shared" si="950"/>
        <v>-0.50119153448444898</v>
      </c>
      <c r="E68">
        <f t="shared" si="951"/>
        <v>61</v>
      </c>
      <c r="F68">
        <f t="shared" si="952"/>
        <v>-0.29953218565044998</v>
      </c>
      <c r="G68">
        <f t="shared" si="953"/>
        <v>0.35489162101612798</v>
      </c>
      <c r="V68">
        <f t="shared" si="943"/>
        <v>61</v>
      </c>
      <c r="W68">
        <f t="shared" si="944"/>
        <v>-0.29953218565044998</v>
      </c>
      <c r="X68">
        <f t="shared" si="945"/>
        <v>0.35489162101612798</v>
      </c>
      <c r="Y68">
        <f t="shared" si="946"/>
        <v>-0.65442380666657796</v>
      </c>
      <c r="Z68">
        <f t="shared" si="937"/>
        <v>1.0293707782163699</v>
      </c>
      <c r="AA68">
        <f t="shared" si="947"/>
        <v>-2.6719533592609799</v>
      </c>
      <c r="AB68">
        <f t="shared" si="948"/>
        <v>1.36310574592782</v>
      </c>
      <c r="AD68">
        <f t="shared" si="954"/>
        <v>61</v>
      </c>
      <c r="AE68">
        <f t="shared" si="955"/>
        <v>-0.29953218565044998</v>
      </c>
    </row>
    <row r="69">
      <c r="A69">
        <f t="shared" si="949"/>
        <v>63</v>
      </c>
      <c r="B69">
        <v>2.1364162498976987e-02</v>
      </c>
      <c r="C69">
        <f t="shared" si="950"/>
        <v>-0.29961421931889398</v>
      </c>
      <c r="E69">
        <f t="shared" si="951"/>
        <v>62</v>
      </c>
      <c r="F69">
        <f t="shared" si="952"/>
        <v>-0.50119153448444898</v>
      </c>
      <c r="G69">
        <f t="shared" si="953"/>
        <v>-0.15244706483544301</v>
      </c>
      <c r="V69">
        <f t="shared" si="943"/>
        <v>62</v>
      </c>
      <c r="W69">
        <f t="shared" si="944"/>
        <v>-0.50119153448444898</v>
      </c>
      <c r="X69">
        <f t="shared" si="945"/>
        <v>-0.15244706483544301</v>
      </c>
      <c r="Y69">
        <f t="shared" si="946"/>
        <v>-0.34874446964900602</v>
      </c>
      <c r="Z69">
        <f t="shared" si="937"/>
        <v>1.0293707782163699</v>
      </c>
      <c r="AA69">
        <f t="shared" si="947"/>
        <v>-2.36627402224341</v>
      </c>
      <c r="AB69">
        <f t="shared" si="948"/>
        <v>1.6687850829453901</v>
      </c>
      <c r="AD69">
        <f t="shared" si="954"/>
        <v>62</v>
      </c>
      <c r="AE69">
        <f t="shared" si="955"/>
        <v>-0.50119153448444898</v>
      </c>
    </row>
    <row r="70">
      <c r="A70">
        <f t="shared" si="949"/>
        <v>64</v>
      </c>
      <c r="B70">
        <v>3.3630781181214632e-02</v>
      </c>
      <c r="C70">
        <f t="shared" si="950"/>
        <v>-0.18037200484180599</v>
      </c>
      <c r="E70">
        <f t="shared" si="951"/>
        <v>63</v>
      </c>
      <c r="F70">
        <f t="shared" si="952"/>
        <v>-0.29961421931889398</v>
      </c>
      <c r="G70">
        <f t="shared" si="953"/>
        <v>-1.6862701057194004e-02</v>
      </c>
      <c r="V70">
        <f t="shared" si="943"/>
        <v>63</v>
      </c>
      <c r="W70">
        <f t="shared" si="944"/>
        <v>-0.29961421931889398</v>
      </c>
      <c r="X70">
        <f t="shared" si="945"/>
        <v>-1.6862701057194004e-02</v>
      </c>
      <c r="Y70">
        <f t="shared" si="946"/>
        <v>-0.28275151826169997</v>
      </c>
      <c r="Z70">
        <f t="shared" si="937"/>
        <v>1.0293707782163699</v>
      </c>
      <c r="AA70">
        <f t="shared" si="947"/>
        <v>-2.3002810708561001</v>
      </c>
      <c r="AB70">
        <f t="shared" si="948"/>
        <v>1.7347780343326999</v>
      </c>
      <c r="AD70">
        <f t="shared" si="954"/>
        <v>63</v>
      </c>
      <c r="AE70">
        <f t="shared" si="955"/>
        <v>-0.29961421931889398</v>
      </c>
    </row>
    <row r="71">
      <c r="A71">
        <f t="shared" si="949"/>
        <v>65</v>
      </c>
      <c r="B71">
        <v>2.4900321457140446</v>
      </c>
      <c r="C71">
        <f t="shared" si="950"/>
        <v>2.35704558608855</v>
      </c>
      <c r="E71">
        <f t="shared" si="951"/>
        <v>64</v>
      </c>
      <c r="F71">
        <f t="shared" si="952"/>
        <v>-0.18037200484180599</v>
      </c>
      <c r="G71">
        <f t="shared" si="953"/>
        <v>1.8592834506712005e-02</v>
      </c>
      <c r="V71">
        <f t="shared" si="943"/>
        <v>64</v>
      </c>
      <c r="W71">
        <f t="shared" si="944"/>
        <v>-0.18037200484180599</v>
      </c>
      <c r="X71">
        <f t="shared" si="945"/>
        <v>1.8592834506712005e-02</v>
      </c>
      <c r="Y71">
        <f t="shared" si="946"/>
        <v>-0.19896483934851797</v>
      </c>
      <c r="Z71">
        <f t="shared" si="937"/>
        <v>1.0293707782163699</v>
      </c>
      <c r="AA71">
        <f t="shared" si="947"/>
        <v>-2.2164943919429199</v>
      </c>
      <c r="AB71">
        <f t="shared" si="948"/>
        <v>1.81856471324588</v>
      </c>
      <c r="AD71">
        <f t="shared" si="954"/>
        <v>64</v>
      </c>
      <c r="AE71">
        <f t="shared" si="955"/>
        <v>-0.18037200484180599</v>
      </c>
    </row>
    <row r="72">
      <c r="A72">
        <f t="shared" si="949"/>
        <v>66</v>
      </c>
      <c r="B72">
        <v>-0.22832106642044353</v>
      </c>
      <c r="C72">
        <f t="shared" si="950"/>
        <v>0.92360441469873999</v>
      </c>
      <c r="E72">
        <f t="shared" si="951"/>
        <v>65</v>
      </c>
      <c r="F72">
        <f t="shared" si="952"/>
        <v>2.35704558608855</v>
      </c>
      <c r="G72">
        <f t="shared" si="953"/>
        <v>2.4884107064696002</v>
      </c>
      <c r="V72">
        <f t="shared" si="943"/>
        <v>65</v>
      </c>
      <c r="W72">
        <f t="shared" si="944"/>
        <v>2.35704558608855</v>
      </c>
      <c r="X72">
        <f t="shared" si="945"/>
        <v>2.4884107064696002</v>
      </c>
      <c r="Y72">
        <f t="shared" si="946"/>
        <v>-0.13136512038105</v>
      </c>
      <c r="Z72">
        <f t="shared" ref="Z72:Z112" si="957">K$18</f>
        <v>1.0293707782163699</v>
      </c>
      <c r="AA72">
        <f t="shared" si="947"/>
        <v>-2.1488946729754499</v>
      </c>
      <c r="AB72">
        <f t="shared" si="948"/>
        <v>1.88616443221335</v>
      </c>
      <c r="AD72">
        <f t="shared" si="954"/>
        <v>65</v>
      </c>
      <c r="AE72">
        <f t="shared" si="955"/>
        <v>2.35704558608855</v>
      </c>
    </row>
    <row r="73">
      <c r="A73">
        <f t="shared" si="949"/>
        <v>67</v>
      </c>
      <c r="B73">
        <v>-0.99142145654823755</v>
      </c>
      <c r="C73">
        <f t="shared" si="950"/>
        <v>-0.29923415297503098</v>
      </c>
      <c r="E73">
        <f t="shared" si="951"/>
        <v>66</v>
      </c>
      <c r="F73">
        <f t="shared" si="952"/>
        <v>0.92360441469873999</v>
      </c>
      <c r="G73">
        <f t="shared" si="953"/>
        <v>0.30784963488960998</v>
      </c>
      <c r="V73">
        <f t="shared" si="943"/>
        <v>66</v>
      </c>
      <c r="W73">
        <f t="shared" si="944"/>
        <v>0.92360441469873999</v>
      </c>
      <c r="X73">
        <f t="shared" si="945"/>
        <v>0.30784963488960998</v>
      </c>
      <c r="Y73">
        <f t="shared" si="946"/>
        <v>0.61575477980912996</v>
      </c>
      <c r="Z73">
        <f t="shared" si="957"/>
        <v>1.0293707782163699</v>
      </c>
      <c r="AA73">
        <f t="shared" si="947"/>
        <v>-1.4017747727852701</v>
      </c>
      <c r="AB73">
        <f t="shared" si="948"/>
        <v>2.6332843324035302</v>
      </c>
      <c r="AD73">
        <f t="shared" si="954"/>
        <v>66</v>
      </c>
      <c r="AE73">
        <f t="shared" si="955"/>
        <v>0.92360441469873999</v>
      </c>
    </row>
    <row r="74">
      <c r="A74">
        <f t="shared" si="949"/>
        <v>68</v>
      </c>
      <c r="B74">
        <v>0.28534068077982994</v>
      </c>
      <c r="C74">
        <f t="shared" si="950"/>
        <v>0.27416106500695597</v>
      </c>
      <c r="E74">
        <f t="shared" si="951"/>
        <v>67</v>
      </c>
      <c r="F74">
        <f t="shared" si="952"/>
        <v>-0.29923415297503098</v>
      </c>
      <c r="G74">
        <f t="shared" si="953"/>
        <v>-0.80944438648807693</v>
      </c>
      <c r="V74">
        <f t="shared" ref="V74:V99" si="958">E74</f>
        <v>67</v>
      </c>
      <c r="W74">
        <f t="shared" ref="W74:W99" si="959">F74</f>
        <v>-0.29923415297503098</v>
      </c>
      <c r="X74">
        <f t="shared" ref="X74:X99" si="960">G74</f>
        <v>-0.80944438648807693</v>
      </c>
      <c r="Y74">
        <f t="shared" ref="Y74:Y99" si="961">W74-X74</f>
        <v>0.51021023351304595</v>
      </c>
      <c r="Z74">
        <f t="shared" si="957"/>
        <v>1.0293707782163699</v>
      </c>
      <c r="AA74">
        <f t="shared" ref="AA74:AA99" si="962">Y74-NORMSINV(1-Z$6/2)*Z74</f>
        <v>-1.5073193190813501</v>
      </c>
      <c r="AB74">
        <f t="shared" ref="AB74:AB99" si="963">Y74+NORMSINV(1-Z$6/2)*Z74</f>
        <v>2.5277397861074502</v>
      </c>
      <c r="AD74">
        <f t="shared" si="954"/>
        <v>67</v>
      </c>
      <c r="AE74">
        <f t="shared" si="955"/>
        <v>-0.29923415297503098</v>
      </c>
    </row>
    <row r="75">
      <c r="A75">
        <f t="shared" ref="A75:A100" si="964">A74+1</f>
        <v>69</v>
      </c>
      <c r="B75">
        <v>-0.37876373558789128</v>
      </c>
      <c r="C75">
        <f t="shared" ref="C75:C99" si="965">0.7*C74+B75-0.2*B74</f>
        <v>-0.24391912623898801</v>
      </c>
      <c r="E75">
        <f t="shared" ref="E75:E100" si="966">E74+1</f>
        <v>68</v>
      </c>
      <c r="F75">
        <f t="shared" ref="F75:F100" si="967">C74</f>
        <v>0.27416106500695597</v>
      </c>
      <c r="G75">
        <f t="shared" ref="G75:G99" si="968">F75-SUMPRODUCT(F74,J$8)-SUMPRODUCT(G74,K$8)</f>
        <v>0.153414017105511</v>
      </c>
      <c r="V75">
        <f t="shared" si="958"/>
        <v>68</v>
      </c>
      <c r="W75">
        <f t="shared" si="959"/>
        <v>0.27416106500695597</v>
      </c>
      <c r="X75">
        <f t="shared" si="960"/>
        <v>0.153414017105511</v>
      </c>
      <c r="Y75">
        <f t="shared" si="961"/>
        <v>0.120747047901445</v>
      </c>
      <c r="Z75">
        <f t="shared" si="957"/>
        <v>1.0293707782163699</v>
      </c>
      <c r="AA75">
        <f t="shared" si="962"/>
        <v>-1.8967825046929601</v>
      </c>
      <c r="AB75">
        <f t="shared" si="963"/>
        <v>2.1382766004958502</v>
      </c>
      <c r="AD75">
        <f t="shared" ref="AD75:AD100" si="969">AD74+1</f>
        <v>68</v>
      </c>
      <c r="AE75">
        <f t="shared" ref="AE75:AE100" si="970">C74</f>
        <v>0.27416106500695597</v>
      </c>
    </row>
    <row r="76">
      <c r="A76">
        <f t="shared" si="964"/>
        <v>70</v>
      </c>
      <c r="B76">
        <v>-0.6172775165552018</v>
      </c>
      <c r="C76">
        <f t="shared" si="965"/>
        <v>-0.71226815780491604</v>
      </c>
      <c r="E76">
        <f t="shared" si="966"/>
        <v>69</v>
      </c>
      <c r="F76">
        <f t="shared" si="967"/>
        <v>-0.24391912623898801</v>
      </c>
      <c r="G76">
        <f t="shared" si="968"/>
        <v>-0.37036675076250702</v>
      </c>
      <c r="V76">
        <f t="shared" si="958"/>
        <v>69</v>
      </c>
      <c r="W76">
        <f t="shared" si="959"/>
        <v>-0.24391912623898801</v>
      </c>
      <c r="X76">
        <f t="shared" si="960"/>
        <v>-0.37036675076250702</v>
      </c>
      <c r="Y76">
        <f t="shared" si="961"/>
        <v>0.12644762452351899</v>
      </c>
      <c r="Z76">
        <f t="shared" si="957"/>
        <v>1.0293707782163699</v>
      </c>
      <c r="AA76">
        <f t="shared" si="962"/>
        <v>-1.8910819280708799</v>
      </c>
      <c r="AB76">
        <f t="shared" si="963"/>
        <v>2.1439771771179199</v>
      </c>
      <c r="AD76">
        <f t="shared" si="969"/>
        <v>69</v>
      </c>
      <c r="AE76">
        <f t="shared" si="970"/>
        <v>-0.24391912623898801</v>
      </c>
    </row>
    <row r="77">
      <c r="A77">
        <f t="shared" si="964"/>
        <v>71</v>
      </c>
      <c r="B77">
        <v>-0.83006009584136975</v>
      </c>
      <c r="C77">
        <f t="shared" si="965"/>
        <v>-1.2051923029937699</v>
      </c>
      <c r="E77">
        <f t="shared" si="966"/>
        <v>70</v>
      </c>
      <c r="F77">
        <f t="shared" si="967"/>
        <v>-0.71226815780491604</v>
      </c>
      <c r="G77">
        <f t="shared" si="968"/>
        <v>-0.69403234189719898</v>
      </c>
      <c r="V77">
        <f t="shared" si="958"/>
        <v>70</v>
      </c>
      <c r="W77">
        <f t="shared" si="959"/>
        <v>-0.71226815780491604</v>
      </c>
      <c r="X77">
        <f t="shared" si="960"/>
        <v>-0.69403234189719898</v>
      </c>
      <c r="Y77">
        <f t="shared" si="961"/>
        <v>-1.8235815907717001e-02</v>
      </c>
      <c r="Z77">
        <f t="shared" si="957"/>
        <v>1.0293707782163699</v>
      </c>
      <c r="AA77">
        <f t="shared" si="962"/>
        <v>-2.03576536850212</v>
      </c>
      <c r="AB77">
        <f t="shared" si="963"/>
        <v>1.9992937366866801</v>
      </c>
      <c r="AD77">
        <f t="shared" si="969"/>
        <v>70</v>
      </c>
      <c r="AE77">
        <f t="shared" si="970"/>
        <v>-0.71226815780491604</v>
      </c>
    </row>
    <row r="78">
      <c r="A78">
        <f t="shared" si="964"/>
        <v>72</v>
      </c>
      <c r="B78">
        <v>0.62978853825533521</v>
      </c>
      <c r="C78">
        <f t="shared" si="965"/>
        <v>-4.7834054672030002e-02</v>
      </c>
      <c r="E78">
        <f t="shared" si="966"/>
        <v>71</v>
      </c>
      <c r="F78">
        <f t="shared" si="967"/>
        <v>-1.2051923029937699</v>
      </c>
      <c r="G78">
        <f t="shared" si="968"/>
        <v>-0.99576950620465288</v>
      </c>
      <c r="V78">
        <f t="shared" si="958"/>
        <v>71</v>
      </c>
      <c r="W78">
        <f t="shared" si="959"/>
        <v>-1.2051923029937699</v>
      </c>
      <c r="X78">
        <f t="shared" si="960"/>
        <v>-0.99576950620465288</v>
      </c>
      <c r="Y78">
        <f t="shared" si="961"/>
        <v>-0.20942279678911699</v>
      </c>
      <c r="Z78">
        <f t="shared" si="957"/>
        <v>1.0293707782163699</v>
      </c>
      <c r="AA78">
        <f t="shared" si="962"/>
        <v>-2.2269523493835202</v>
      </c>
      <c r="AB78">
        <f t="shared" si="963"/>
        <v>1.8081067558052799</v>
      </c>
      <c r="AD78">
        <f t="shared" si="969"/>
        <v>71</v>
      </c>
      <c r="AE78">
        <f t="shared" si="970"/>
        <v>-1.2051923029937699</v>
      </c>
    </row>
    <row r="79">
      <c r="A79">
        <f t="shared" si="964"/>
        <v>73</v>
      </c>
      <c r="B79">
        <v>-0.694040660745746</v>
      </c>
      <c r="C79">
        <f t="shared" si="965"/>
        <v>-0.85348220666723384</v>
      </c>
      <c r="E79">
        <f t="shared" si="966"/>
        <v>72</v>
      </c>
      <c r="F79">
        <f t="shared" si="967"/>
        <v>-4.7834054672030002e-02</v>
      </c>
      <c r="G79">
        <f t="shared" si="968"/>
        <v>0.37849106449956998</v>
      </c>
      <c r="V79">
        <f t="shared" si="958"/>
        <v>72</v>
      </c>
      <c r="W79">
        <f t="shared" si="959"/>
        <v>-4.7834054672030002e-02</v>
      </c>
      <c r="X79">
        <f t="shared" si="960"/>
        <v>0.37849106449956998</v>
      </c>
      <c r="Y79">
        <f t="shared" si="961"/>
        <v>-0.42632511917159999</v>
      </c>
      <c r="Z79">
        <f t="shared" si="957"/>
        <v>1.0293707782163699</v>
      </c>
      <c r="AA79">
        <f t="shared" si="962"/>
        <v>-2.4438546717660001</v>
      </c>
      <c r="AB79">
        <f t="shared" si="963"/>
        <v>1.5912044334227999</v>
      </c>
      <c r="AD79">
        <f t="shared" si="969"/>
        <v>72</v>
      </c>
      <c r="AE79">
        <f t="shared" si="970"/>
        <v>-4.7834054672030002e-02</v>
      </c>
    </row>
    <row r="80">
      <c r="A80">
        <f t="shared" si="964"/>
        <v>74</v>
      </c>
      <c r="B80">
        <v>-1.129297764638155</v>
      </c>
      <c r="C80">
        <f t="shared" si="965"/>
        <v>-1.5879271771560699</v>
      </c>
      <c r="E80">
        <f t="shared" si="966"/>
        <v>73</v>
      </c>
      <c r="F80">
        <f t="shared" si="967"/>
        <v>-0.85348220666723384</v>
      </c>
      <c r="G80">
        <f t="shared" si="968"/>
        <v>-0.66808074317659605</v>
      </c>
      <c r="V80">
        <f t="shared" si="958"/>
        <v>73</v>
      </c>
      <c r="W80">
        <f t="shared" si="959"/>
        <v>-0.85348220666723384</v>
      </c>
      <c r="X80">
        <f t="shared" si="960"/>
        <v>-0.66808074317659605</v>
      </c>
      <c r="Y80">
        <f t="shared" si="961"/>
        <v>-0.18540146349063799</v>
      </c>
      <c r="Z80">
        <f t="shared" si="957"/>
        <v>1.0293707782163699</v>
      </c>
      <c r="AA80">
        <f t="shared" si="962"/>
        <v>-2.2029310160850399</v>
      </c>
      <c r="AB80">
        <f t="shared" si="963"/>
        <v>1.8321280891037599</v>
      </c>
      <c r="AD80">
        <f t="shared" si="969"/>
        <v>73</v>
      </c>
      <c r="AE80">
        <f t="shared" si="970"/>
        <v>-0.85348220666723384</v>
      </c>
    </row>
    <row r="81">
      <c r="A81">
        <f t="shared" si="964"/>
        <v>75</v>
      </c>
      <c r="B81">
        <v>0.6095368117304879</v>
      </c>
      <c r="C81">
        <f t="shared" si="965"/>
        <v>-0.27615265935112998</v>
      </c>
      <c r="E81">
        <f t="shared" si="966"/>
        <v>74</v>
      </c>
      <c r="F81">
        <f t="shared" si="967"/>
        <v>-1.5879271771560699</v>
      </c>
      <c r="G81">
        <f t="shared" si="968"/>
        <v>-1.2710651990206401</v>
      </c>
      <c r="V81">
        <f t="shared" si="958"/>
        <v>74</v>
      </c>
      <c r="W81">
        <f t="shared" si="959"/>
        <v>-1.5879271771560699</v>
      </c>
      <c r="X81">
        <f t="shared" si="960"/>
        <v>-1.2710651990206401</v>
      </c>
      <c r="Y81">
        <f t="shared" si="961"/>
        <v>-0.31686197813542999</v>
      </c>
      <c r="Z81">
        <f t="shared" si="957"/>
        <v>1.0293707782163699</v>
      </c>
      <c r="AA81">
        <f t="shared" si="962"/>
        <v>-2.33439153072983</v>
      </c>
      <c r="AB81">
        <f t="shared" si="963"/>
        <v>1.7006675744589701</v>
      </c>
      <c r="AD81">
        <f t="shared" si="969"/>
        <v>74</v>
      </c>
      <c r="AE81">
        <f t="shared" si="970"/>
        <v>-1.5879271771560699</v>
      </c>
    </row>
    <row r="82">
      <c r="A82">
        <f t="shared" si="964"/>
        <v>76</v>
      </c>
      <c r="B82">
        <v>-1.2359970227306327</v>
      </c>
      <c r="C82">
        <f t="shared" si="965"/>
        <v>-1.5512112466225201</v>
      </c>
      <c r="E82">
        <f t="shared" si="966"/>
        <v>75</v>
      </c>
      <c r="F82">
        <f t="shared" si="967"/>
        <v>-0.27615265935112998</v>
      </c>
      <c r="G82">
        <f t="shared" si="968"/>
        <v>0.30205908360851602</v>
      </c>
      <c r="V82">
        <f t="shared" si="958"/>
        <v>75</v>
      </c>
      <c r="W82">
        <f t="shared" si="959"/>
        <v>-0.27615265935112998</v>
      </c>
      <c r="X82">
        <f t="shared" si="960"/>
        <v>0.30205908360851602</v>
      </c>
      <c r="Y82">
        <f t="shared" si="961"/>
        <v>-0.57821174295964595</v>
      </c>
      <c r="Z82">
        <f t="shared" si="957"/>
        <v>1.0293707782163699</v>
      </c>
      <c r="AA82">
        <f t="shared" si="962"/>
        <v>-2.59574129555405</v>
      </c>
      <c r="AB82">
        <f t="shared" si="963"/>
        <v>1.4393178096347501</v>
      </c>
      <c r="AD82">
        <f t="shared" si="969"/>
        <v>75</v>
      </c>
      <c r="AE82">
        <f t="shared" si="970"/>
        <v>-0.27615265935112998</v>
      </c>
    </row>
    <row r="83">
      <c r="A83">
        <f t="shared" si="964"/>
        <v>77</v>
      </c>
      <c r="B83">
        <v>0.14781809608735161</v>
      </c>
      <c r="C83">
        <f t="shared" si="965"/>
        <v>-0.69083037200228203</v>
      </c>
      <c r="E83">
        <f t="shared" si="966"/>
        <v>76</v>
      </c>
      <c r="F83">
        <f t="shared" si="967"/>
        <v>-1.5512112466225201</v>
      </c>
      <c r="G83">
        <f t="shared" si="968"/>
        <v>-1.2398169776833901</v>
      </c>
      <c r="V83">
        <f t="shared" si="958"/>
        <v>76</v>
      </c>
      <c r="W83">
        <f t="shared" si="959"/>
        <v>-1.5512112466225201</v>
      </c>
      <c r="X83">
        <f t="shared" si="960"/>
        <v>-1.2398169776833901</v>
      </c>
      <c r="Y83">
        <f t="shared" si="961"/>
        <v>-0.31139426893913003</v>
      </c>
      <c r="Z83">
        <f t="shared" si="957"/>
        <v>1.0293707782163699</v>
      </c>
      <c r="AA83">
        <f t="shared" si="962"/>
        <v>-2.3289238215335302</v>
      </c>
      <c r="AB83">
        <f t="shared" si="963"/>
        <v>1.7061352836552699</v>
      </c>
      <c r="AD83">
        <f t="shared" si="969"/>
        <v>76</v>
      </c>
      <c r="AE83">
        <f t="shared" si="970"/>
        <v>-1.5512112466225201</v>
      </c>
    </row>
    <row r="84">
      <c r="A84">
        <f t="shared" si="964"/>
        <v>78</v>
      </c>
      <c r="B84">
        <v>0.14223995185972241</v>
      </c>
      <c r="C84">
        <f t="shared" si="965"/>
        <v>-0.37090492775934503</v>
      </c>
      <c r="E84">
        <f t="shared" si="966"/>
        <v>77</v>
      </c>
      <c r="F84">
        <f t="shared" si="967"/>
        <v>-0.69083037200228203</v>
      </c>
      <c r="G84">
        <f t="shared" si="968"/>
        <v>-0.125238825866199</v>
      </c>
      <c r="V84">
        <f t="shared" si="958"/>
        <v>77</v>
      </c>
      <c r="W84">
        <f t="shared" si="959"/>
        <v>-0.69083037200228203</v>
      </c>
      <c r="X84">
        <f t="shared" si="960"/>
        <v>-0.125238825866199</v>
      </c>
      <c r="Y84">
        <f t="shared" si="961"/>
        <v>-0.56559154613608298</v>
      </c>
      <c r="Z84">
        <f t="shared" si="957"/>
        <v>1.0293707782163699</v>
      </c>
      <c r="AA84">
        <f t="shared" si="962"/>
        <v>-2.58312109873048</v>
      </c>
      <c r="AB84">
        <f t="shared" si="963"/>
        <v>1.4519380064583201</v>
      </c>
      <c r="AD84">
        <f t="shared" si="969"/>
        <v>77</v>
      </c>
      <c r="AE84">
        <f t="shared" si="970"/>
        <v>-0.69083037200228203</v>
      </c>
    </row>
    <row r="85">
      <c r="A85">
        <f t="shared" si="964"/>
        <v>79</v>
      </c>
      <c r="B85">
        <v>0.78683578193082893</v>
      </c>
      <c r="C85">
        <f t="shared" si="965"/>
        <v>0.49875434212734299</v>
      </c>
      <c r="E85">
        <f t="shared" si="966"/>
        <v>78</v>
      </c>
      <c r="F85">
        <f t="shared" si="967"/>
        <v>-0.37090492775934503</v>
      </c>
      <c r="G85">
        <f t="shared" si="968"/>
        <v>5.3048196294448999e-02</v>
      </c>
      <c r="V85">
        <f t="shared" si="958"/>
        <v>78</v>
      </c>
      <c r="W85">
        <f t="shared" si="959"/>
        <v>-0.37090492775934503</v>
      </c>
      <c r="X85">
        <f t="shared" si="960"/>
        <v>5.3048196294448999e-02</v>
      </c>
      <c r="Y85">
        <f t="shared" si="961"/>
        <v>-0.42395312405379404</v>
      </c>
      <c r="Z85">
        <f t="shared" si="957"/>
        <v>1.0293707782163699</v>
      </c>
      <c r="AA85">
        <f t="shared" si="962"/>
        <v>-2.4414826766481901</v>
      </c>
      <c r="AB85">
        <f t="shared" si="963"/>
        <v>1.59357642854061</v>
      </c>
      <c r="AD85">
        <f t="shared" si="969"/>
        <v>78</v>
      </c>
      <c r="AE85">
        <f t="shared" si="970"/>
        <v>-0.37090492775934503</v>
      </c>
    </row>
    <row r="86">
      <c r="A86">
        <f t="shared" si="964"/>
        <v>80</v>
      </c>
      <c r="B86">
        <v>-2.0572048484731567</v>
      </c>
      <c r="C86">
        <f t="shared" si="965"/>
        <v>-1.86544396537019</v>
      </c>
      <c r="E86">
        <f t="shared" si="966"/>
        <v>79</v>
      </c>
      <c r="F86">
        <f t="shared" si="967"/>
        <v>0.49875434212734299</v>
      </c>
      <c r="G86">
        <f t="shared" si="968"/>
        <v>0.77485604574975997</v>
      </c>
      <c r="V86">
        <f t="shared" si="958"/>
        <v>79</v>
      </c>
      <c r="W86">
        <f t="shared" si="959"/>
        <v>0.49875434212734299</v>
      </c>
      <c r="X86">
        <f t="shared" si="960"/>
        <v>0.77485604574975997</v>
      </c>
      <c r="Y86">
        <f t="shared" si="961"/>
        <v>-0.27610170362241698</v>
      </c>
      <c r="Z86">
        <f t="shared" si="957"/>
        <v>1.0293707782163699</v>
      </c>
      <c r="AA86">
        <f t="shared" si="962"/>
        <v>-2.2936312562168202</v>
      </c>
      <c r="AB86">
        <f t="shared" si="963"/>
        <v>1.7414278489719801</v>
      </c>
      <c r="AD86">
        <f t="shared" si="969"/>
        <v>79</v>
      </c>
      <c r="AE86">
        <f t="shared" si="970"/>
        <v>0.49875434212734299</v>
      </c>
    </row>
    <row r="87">
      <c r="A87">
        <f t="shared" si="964"/>
        <v>81</v>
      </c>
      <c r="B87">
        <v>4.9553368430570136e-02</v>
      </c>
      <c r="C87">
        <f t="shared" si="965"/>
        <v>-0.844816437633928</v>
      </c>
      <c r="E87">
        <f t="shared" si="966"/>
        <v>80</v>
      </c>
      <c r="F87">
        <f t="shared" si="967"/>
        <v>-1.86544396537019</v>
      </c>
      <c r="G87">
        <f t="shared" si="968"/>
        <v>-1.8956591422009901</v>
      </c>
      <c r="V87">
        <f t="shared" si="958"/>
        <v>80</v>
      </c>
      <c r="W87">
        <f t="shared" si="959"/>
        <v>-1.86544396537019</v>
      </c>
      <c r="X87">
        <f t="shared" si="960"/>
        <v>-1.8956591422009901</v>
      </c>
      <c r="Y87">
        <f t="shared" si="961"/>
        <v>3.0215176830799998e-02</v>
      </c>
      <c r="Z87">
        <f t="shared" si="957"/>
        <v>1.0293707782163699</v>
      </c>
      <c r="AA87">
        <f t="shared" si="962"/>
        <v>-1.9873143757636</v>
      </c>
      <c r="AB87">
        <f t="shared" si="963"/>
        <v>2.0477447294252</v>
      </c>
      <c r="AD87">
        <f t="shared" si="969"/>
        <v>80</v>
      </c>
      <c r="AE87">
        <f t="shared" si="970"/>
        <v>-1.86544396537019</v>
      </c>
    </row>
    <row r="88">
      <c r="A88">
        <f t="shared" si="964"/>
        <v>82</v>
      </c>
      <c r="B88">
        <v>-1.4066323798943019</v>
      </c>
      <c r="C88">
        <f t="shared" si="965"/>
        <v>-2.0079145599241599</v>
      </c>
      <c r="E88">
        <f t="shared" si="966"/>
        <v>81</v>
      </c>
      <c r="F88">
        <f t="shared" si="967"/>
        <v>-0.844816437633928</v>
      </c>
      <c r="G88">
        <f t="shared" si="968"/>
        <v>-0.32776207331938401</v>
      </c>
      <c r="V88">
        <f t="shared" si="958"/>
        <v>81</v>
      </c>
      <c r="W88">
        <f t="shared" si="959"/>
        <v>-0.844816437633928</v>
      </c>
      <c r="X88">
        <f t="shared" si="960"/>
        <v>-0.32776207331938401</v>
      </c>
      <c r="Y88">
        <f t="shared" si="961"/>
        <v>-0.51705436431454399</v>
      </c>
      <c r="Z88">
        <f t="shared" si="957"/>
        <v>1.0293707782163699</v>
      </c>
      <c r="AA88">
        <f t="shared" si="962"/>
        <v>-2.5345839169089399</v>
      </c>
      <c r="AB88">
        <f t="shared" si="963"/>
        <v>1.5004751882798599</v>
      </c>
      <c r="AD88">
        <f t="shared" si="969"/>
        <v>81</v>
      </c>
      <c r="AE88">
        <f t="shared" si="970"/>
        <v>-0.844816437633928</v>
      </c>
    </row>
    <row r="89">
      <c r="A89">
        <f t="shared" si="964"/>
        <v>83</v>
      </c>
      <c r="B89">
        <v>1.5637407126388041</v>
      </c>
      <c r="C89">
        <f t="shared" si="965"/>
        <v>0.43952699667075007</v>
      </c>
      <c r="E89">
        <f t="shared" si="966"/>
        <v>82</v>
      </c>
      <c r="F89">
        <f t="shared" si="967"/>
        <v>-2.0079145599241599</v>
      </c>
      <c r="G89">
        <f t="shared" si="968"/>
        <v>-1.55983804150932</v>
      </c>
      <c r="V89">
        <f t="shared" si="958"/>
        <v>82</v>
      </c>
      <c r="W89">
        <f t="shared" si="959"/>
        <v>-2.0079145599241599</v>
      </c>
      <c r="X89">
        <f t="shared" si="960"/>
        <v>-1.55983804150932</v>
      </c>
      <c r="Y89">
        <f t="shared" si="961"/>
        <v>-0.44807651841483997</v>
      </c>
      <c r="Z89">
        <f t="shared" si="957"/>
        <v>1.0293707782163699</v>
      </c>
      <c r="AA89">
        <f t="shared" si="962"/>
        <v>-2.46560607100924</v>
      </c>
      <c r="AB89">
        <f t="shared" si="963"/>
        <v>1.5694530341795601</v>
      </c>
      <c r="AD89">
        <f t="shared" si="969"/>
        <v>82</v>
      </c>
      <c r="AE89">
        <f t="shared" si="970"/>
        <v>-2.0079145599241599</v>
      </c>
    </row>
    <row r="90">
      <c r="A90">
        <f t="shared" si="964"/>
        <v>84</v>
      </c>
      <c r="B90">
        <v>1.1803319732811373</v>
      </c>
      <c r="C90">
        <f t="shared" si="965"/>
        <v>1.17525272842291</v>
      </c>
      <c r="E90">
        <f t="shared" si="966"/>
        <v>83</v>
      </c>
      <c r="F90">
        <f t="shared" si="967"/>
        <v>0.43952699667075007</v>
      </c>
      <c r="G90">
        <f t="shared" si="968"/>
        <v>1.1897767065384799</v>
      </c>
      <c r="V90">
        <f t="shared" si="958"/>
        <v>83</v>
      </c>
      <c r="W90">
        <f t="shared" si="959"/>
        <v>0.43952699667075007</v>
      </c>
      <c r="X90">
        <f t="shared" si="960"/>
        <v>1.1897767065384799</v>
      </c>
      <c r="Y90">
        <f t="shared" si="961"/>
        <v>-0.75024970986772999</v>
      </c>
      <c r="Z90">
        <f t="shared" si="957"/>
        <v>1.0293707782163699</v>
      </c>
      <c r="AA90">
        <f t="shared" si="962"/>
        <v>-2.7677792624621298</v>
      </c>
      <c r="AB90">
        <f t="shared" si="963"/>
        <v>1.26727984272667</v>
      </c>
      <c r="AD90">
        <f t="shared" si="969"/>
        <v>83</v>
      </c>
      <c r="AE90">
        <f t="shared" si="970"/>
        <v>0.43952699667075007</v>
      </c>
    </row>
    <row r="91">
      <c r="A91">
        <f t="shared" si="964"/>
        <v>85</v>
      </c>
      <c r="B91">
        <v>-0.6651070261756501</v>
      </c>
      <c r="C91">
        <f t="shared" si="965"/>
        <v>-7.8496510935840993e-02</v>
      </c>
      <c r="E91">
        <f t="shared" si="966"/>
        <v>84</v>
      </c>
      <c r="F91">
        <f t="shared" si="967"/>
        <v>1.17525272842291</v>
      </c>
      <c r="G91">
        <f t="shared" si="968"/>
        <v>1.35294639387907</v>
      </c>
      <c r="V91">
        <f t="shared" si="958"/>
        <v>84</v>
      </c>
      <c r="W91">
        <f t="shared" si="959"/>
        <v>1.17525272842291</v>
      </c>
      <c r="X91">
        <f t="shared" si="960"/>
        <v>1.35294639387907</v>
      </c>
      <c r="Y91">
        <f t="shared" si="961"/>
        <v>-0.17769366545616</v>
      </c>
      <c r="Z91">
        <f t="shared" si="957"/>
        <v>1.0293707782163699</v>
      </c>
      <c r="AA91">
        <f t="shared" si="962"/>
        <v>-2.1952232180505602</v>
      </c>
      <c r="AB91">
        <f t="shared" si="963"/>
        <v>1.8398358871382401</v>
      </c>
      <c r="AD91">
        <f t="shared" si="969"/>
        <v>84</v>
      </c>
      <c r="AE91">
        <f t="shared" si="970"/>
        <v>1.17525272842291</v>
      </c>
    </row>
    <row r="92">
      <c r="A92">
        <f t="shared" si="964"/>
        <v>86</v>
      </c>
      <c r="B92">
        <v>0.57494501634557915</v>
      </c>
      <c r="C92">
        <f t="shared" si="965"/>
        <v>0.65301886392562003</v>
      </c>
      <c r="E92">
        <f t="shared" si="966"/>
        <v>85</v>
      </c>
      <c r="F92">
        <f t="shared" si="967"/>
        <v>-7.8496510935840993e-02</v>
      </c>
      <c r="G92">
        <f t="shared" si="968"/>
        <v>-0.340299979878458</v>
      </c>
      <c r="V92">
        <f t="shared" si="958"/>
        <v>85</v>
      </c>
      <c r="W92">
        <f t="shared" si="959"/>
        <v>-7.8496510935840993e-02</v>
      </c>
      <c r="X92">
        <f t="shared" si="960"/>
        <v>-0.340299979878458</v>
      </c>
      <c r="Y92">
        <f t="shared" si="961"/>
        <v>0.26180346894261702</v>
      </c>
      <c r="Z92">
        <f t="shared" si="957"/>
        <v>1.0293707782163699</v>
      </c>
      <c r="AA92">
        <f t="shared" si="962"/>
        <v>-1.7557260836517801</v>
      </c>
      <c r="AB92">
        <f t="shared" si="963"/>
        <v>2.27933302153702</v>
      </c>
      <c r="AD92">
        <f t="shared" si="969"/>
        <v>85</v>
      </c>
      <c r="AE92">
        <f t="shared" si="970"/>
        <v>-7.8496510935840993e-02</v>
      </c>
    </row>
    <row r="93">
      <c r="A93">
        <f t="shared" si="964"/>
        <v>87</v>
      </c>
      <c r="B93">
        <v>-4.1159165518735163e-02</v>
      </c>
      <c r="C93">
        <f t="shared" si="965"/>
        <v>0.300965035960083</v>
      </c>
      <c r="E93">
        <f t="shared" si="966"/>
        <v>86</v>
      </c>
      <c r="F93">
        <f t="shared" si="967"/>
        <v>0.65301886392562003</v>
      </c>
      <c r="G93">
        <f t="shared" si="968"/>
        <v>0.56976842246412496</v>
      </c>
      <c r="V93">
        <f t="shared" si="958"/>
        <v>86</v>
      </c>
      <c r="W93">
        <f t="shared" si="959"/>
        <v>0.65301886392562003</v>
      </c>
      <c r="X93">
        <f t="shared" si="960"/>
        <v>0.56976842246412496</v>
      </c>
      <c r="Y93">
        <f t="shared" si="961"/>
        <v>8.3250441461495017e-02</v>
      </c>
      <c r="Z93">
        <f t="shared" si="957"/>
        <v>1.0293707782163699</v>
      </c>
      <c r="AA93">
        <f t="shared" si="962"/>
        <v>-1.9342791111329101</v>
      </c>
      <c r="AB93">
        <f t="shared" si="963"/>
        <v>2.1007799940559</v>
      </c>
      <c r="AD93">
        <f t="shared" si="969"/>
        <v>86</v>
      </c>
      <c r="AE93">
        <f t="shared" si="970"/>
        <v>0.65301886392562003</v>
      </c>
    </row>
    <row r="94">
      <c r="A94">
        <f t="shared" si="964"/>
        <v>88</v>
      </c>
      <c r="B94">
        <v>-0.89619571623511651</v>
      </c>
      <c r="C94">
        <f t="shared" si="965"/>
        <v>-0.67728835795931197</v>
      </c>
      <c r="E94">
        <f t="shared" si="966"/>
        <v>87</v>
      </c>
      <c r="F94">
        <f t="shared" si="967"/>
        <v>0.300965035960083</v>
      </c>
      <c r="G94">
        <f t="shared" si="968"/>
        <v>8.2147247164505e-02</v>
      </c>
      <c r="V94">
        <f t="shared" si="958"/>
        <v>87</v>
      </c>
      <c r="W94">
        <f t="shared" si="959"/>
        <v>0.300965035960083</v>
      </c>
      <c r="X94">
        <f t="shared" si="960"/>
        <v>8.2147247164505e-02</v>
      </c>
      <c r="Y94">
        <f t="shared" si="961"/>
        <v>0.21881778879557801</v>
      </c>
      <c r="Z94">
        <f t="shared" si="957"/>
        <v>1.0293707782163699</v>
      </c>
      <c r="AA94">
        <f t="shared" si="962"/>
        <v>-1.7987117637988199</v>
      </c>
      <c r="AB94">
        <f t="shared" si="963"/>
        <v>2.2363473413899801</v>
      </c>
      <c r="AD94">
        <f t="shared" si="969"/>
        <v>87</v>
      </c>
      <c r="AE94">
        <f t="shared" si="970"/>
        <v>0.300965035960083</v>
      </c>
    </row>
    <row r="95">
      <c r="A95">
        <f t="shared" si="964"/>
        <v>89</v>
      </c>
      <c r="B95">
        <v>1.503359605306662</v>
      </c>
      <c r="C95">
        <f t="shared" si="965"/>
        <v>1.20849689798216</v>
      </c>
      <c r="E95">
        <f t="shared" si="966"/>
        <v>88</v>
      </c>
      <c r="F95">
        <f t="shared" si="967"/>
        <v>-0.67728835795931197</v>
      </c>
      <c r="G95">
        <f t="shared" si="968"/>
        <v>-0.85086787210772896</v>
      </c>
      <c r="V95">
        <f t="shared" si="958"/>
        <v>88</v>
      </c>
      <c r="W95">
        <f t="shared" si="959"/>
        <v>-0.67728835795931197</v>
      </c>
      <c r="X95">
        <f t="shared" si="960"/>
        <v>-0.85086787210772896</v>
      </c>
      <c r="Y95">
        <f t="shared" si="961"/>
        <v>0.17357951414841699</v>
      </c>
      <c r="Z95">
        <f t="shared" si="957"/>
        <v>1.0293707782163699</v>
      </c>
      <c r="AA95">
        <f t="shared" si="962"/>
        <v>-1.8439500384459799</v>
      </c>
      <c r="AB95">
        <f t="shared" si="963"/>
        <v>2.1911090667428201</v>
      </c>
      <c r="AD95">
        <f t="shared" si="969"/>
        <v>88</v>
      </c>
      <c r="AE95">
        <f t="shared" si="970"/>
        <v>-0.67728835795931197</v>
      </c>
    </row>
    <row r="96">
      <c r="A96">
        <f t="shared" si="964"/>
        <v>90</v>
      </c>
      <c r="B96">
        <v>-0.71156365631100771</v>
      </c>
      <c r="C96">
        <f t="shared" si="965"/>
        <v>-0.16628774878482799</v>
      </c>
      <c r="E96">
        <f t="shared" si="966"/>
        <v>89</v>
      </c>
      <c r="F96">
        <f t="shared" si="967"/>
        <v>1.20849689798216</v>
      </c>
      <c r="G96">
        <f t="shared" si="968"/>
        <v>1.3306844410040199</v>
      </c>
      <c r="V96">
        <f t="shared" si="958"/>
        <v>89</v>
      </c>
      <c r="W96">
        <f t="shared" si="959"/>
        <v>1.20849689798216</v>
      </c>
      <c r="X96">
        <f t="shared" si="960"/>
        <v>1.3306844410040199</v>
      </c>
      <c r="Y96">
        <f t="shared" si="961"/>
        <v>-0.12218754302186</v>
      </c>
      <c r="Z96">
        <f t="shared" si="957"/>
        <v>1.0293707782163699</v>
      </c>
      <c r="AA96">
        <f t="shared" si="962"/>
        <v>-2.1397170956162599</v>
      </c>
      <c r="AB96">
        <f t="shared" si="963"/>
        <v>1.89534200957254</v>
      </c>
      <c r="AD96">
        <f t="shared" si="969"/>
        <v>89</v>
      </c>
      <c r="AE96">
        <f t="shared" si="970"/>
        <v>1.20849689798216</v>
      </c>
    </row>
    <row r="97">
      <c r="A97">
        <f t="shared" si="964"/>
        <v>91</v>
      </c>
      <c r="B97">
        <v>0.98331759725438272</v>
      </c>
      <c r="C97">
        <f t="shared" si="965"/>
        <v>1.00922890436721</v>
      </c>
      <c r="E97">
        <f t="shared" si="966"/>
        <v>90</v>
      </c>
      <c r="F97">
        <f t="shared" si="967"/>
        <v>-0.16628774878482799</v>
      </c>
      <c r="G97">
        <f t="shared" si="968"/>
        <v>-0.45989449912927205</v>
      </c>
      <c r="V97">
        <f t="shared" si="958"/>
        <v>90</v>
      </c>
      <c r="W97">
        <f t="shared" si="959"/>
        <v>-0.16628774878482799</v>
      </c>
      <c r="X97">
        <f t="shared" si="960"/>
        <v>-0.45989449912927205</v>
      </c>
      <c r="Y97">
        <f t="shared" si="961"/>
        <v>0.293606750344444</v>
      </c>
      <c r="Z97">
        <f t="shared" si="957"/>
        <v>1.0293707782163699</v>
      </c>
      <c r="AA97">
        <f t="shared" si="962"/>
        <v>-1.72392280224996</v>
      </c>
      <c r="AB97">
        <f t="shared" si="963"/>
        <v>2.3111363029388401</v>
      </c>
      <c r="AD97">
        <f t="shared" si="969"/>
        <v>90</v>
      </c>
      <c r="AE97">
        <f t="shared" si="970"/>
        <v>-0.16628774878482799</v>
      </c>
    </row>
    <row r="98">
      <c r="A98">
        <f t="shared" si="964"/>
        <v>92</v>
      </c>
      <c r="B98">
        <v>-0.83758504934694744</v>
      </c>
      <c r="C98">
        <f t="shared" si="965"/>
        <v>-0.32778833574077798</v>
      </c>
      <c r="E98">
        <f t="shared" si="966"/>
        <v>91</v>
      </c>
      <c r="F98">
        <f t="shared" si="967"/>
        <v>1.00922890436721</v>
      </c>
      <c r="G98">
        <f t="shared" si="968"/>
        <v>0.93806678170708901</v>
      </c>
      <c r="V98">
        <f t="shared" si="958"/>
        <v>91</v>
      </c>
      <c r="W98">
        <f t="shared" si="959"/>
        <v>1.00922890436721</v>
      </c>
      <c r="X98">
        <f t="shared" si="960"/>
        <v>0.93806678170708901</v>
      </c>
      <c r="Y98">
        <f t="shared" si="961"/>
        <v>7.1162122660120994e-02</v>
      </c>
      <c r="Z98">
        <f t="shared" si="957"/>
        <v>1.0293707782163699</v>
      </c>
      <c r="AA98">
        <f t="shared" si="962"/>
        <v>-1.9463674299342799</v>
      </c>
      <c r="AB98">
        <f t="shared" si="963"/>
        <v>2.0886916752545202</v>
      </c>
      <c r="AD98">
        <f t="shared" si="969"/>
        <v>91</v>
      </c>
      <c r="AE98">
        <f t="shared" si="970"/>
        <v>1.00922890436721</v>
      </c>
    </row>
    <row r="99">
      <c r="A99">
        <f t="shared" si="964"/>
        <v>93</v>
      </c>
      <c r="B99">
        <v>-1.916010009424536</v>
      </c>
      <c r="C99">
        <f t="shared" si="965"/>
        <v>-1.9779448345737001</v>
      </c>
      <c r="E99">
        <f t="shared" si="966"/>
        <v>92</v>
      </c>
      <c r="F99">
        <f t="shared" si="967"/>
        <v>-0.32778833574077798</v>
      </c>
      <c r="G99">
        <f t="shared" si="968"/>
        <v>-0.64279188165742795</v>
      </c>
      <c r="V99">
        <f t="shared" si="958"/>
        <v>92</v>
      </c>
      <c r="W99">
        <f t="shared" si="959"/>
        <v>-0.32778833574077798</v>
      </c>
      <c r="X99">
        <f t="shared" si="960"/>
        <v>-0.64279188165742795</v>
      </c>
      <c r="Y99">
        <f t="shared" si="961"/>
        <v>0.31500354591664997</v>
      </c>
      <c r="Z99">
        <f t="shared" si="957"/>
        <v>1.0293707782163699</v>
      </c>
      <c r="AA99">
        <f t="shared" si="962"/>
        <v>-1.7025260066777499</v>
      </c>
      <c r="AB99">
        <f t="shared" si="963"/>
        <v>2.3325330985110502</v>
      </c>
      <c r="AD99">
        <f t="shared" si="969"/>
        <v>92</v>
      </c>
      <c r="AE99">
        <f t="shared" si="970"/>
        <v>-0.32778833574077798</v>
      </c>
    </row>
    <row r="100">
      <c r="A100">
        <f t="shared" si="964"/>
        <v>94</v>
      </c>
      <c r="B100">
        <v>0.10151986902498664</v>
      </c>
      <c r="C100">
        <f>0.7*C99+B100-0.2*B99</f>
        <v>-0.89983951329169209</v>
      </c>
      <c r="E100">
        <f t="shared" si="966"/>
        <v>93</v>
      </c>
      <c r="F100">
        <f t="shared" si="967"/>
        <v>-1.9779448345737001</v>
      </c>
      <c r="G100">
        <f>F100-SUMPRODUCT(F99,J$8)-SUMPRODUCT(G99,K$8)</f>
        <v>-2.0119127073318599</v>
      </c>
      <c r="V100">
        <f t="shared" ref="V100:V112" si="971">E100</f>
        <v>93</v>
      </c>
      <c r="W100">
        <f t="shared" ref="W100:W112" si="972">F100</f>
        <v>-1.9779448345737001</v>
      </c>
      <c r="X100">
        <f t="shared" ref="X100:X112" si="973">G100</f>
        <v>-2.0119127073318599</v>
      </c>
      <c r="Y100">
        <f t="shared" ref="Y100:Y112" si="974">W100-X100</f>
        <v>3.3967872758160003e-02</v>
      </c>
      <c r="Z100">
        <f t="shared" si="957"/>
        <v>1.0293707782163699</v>
      </c>
      <c r="AA100">
        <f t="shared" ref="AA100:AA117" si="975">Y100-NORMSINV(1-Z$6/2)*Z100</f>
        <v>-1.9835616798362401</v>
      </c>
      <c r="AB100">
        <f t="shared" ref="AB100:AB117" si="976">Y100+NORMSINV(1-Z$6/2)*Z100</f>
        <v>2.0514974253525602</v>
      </c>
      <c r="AD100">
        <f t="shared" si="969"/>
        <v>93</v>
      </c>
      <c r="AE100">
        <f t="shared" si="970"/>
        <v>-1.9779448345737001</v>
      </c>
    </row>
    <row r="101">
      <c r="A101">
        <f t="shared" ref="A101:A111" si="977">A100+1</f>
        <v>95</v>
      </c>
      <c r="B101">
        <v>0.94375520294114756</v>
      </c>
      <c r="C101">
        <f t="shared" ref="C101:C111" si="978">0.7*C100+B101-0.2*B100</f>
        <v>0.29356356983196702</v>
      </c>
      <c r="E101">
        <f t="shared" ref="E101:E112" si="979">E100+1</f>
        <v>94</v>
      </c>
      <c r="F101">
        <f t="shared" ref="F101:F112" si="980">C100</f>
        <v>-0.89983951329169209</v>
      </c>
      <c r="G101">
        <f t="shared" ref="G101:G112" si="981">F101-SUMPRODUCT(F100,J$8)-SUMPRODUCT(G100,K$8)</f>
        <v>-0.352380808300088</v>
      </c>
      <c r="V101">
        <f t="shared" si="971"/>
        <v>94</v>
      </c>
      <c r="W101">
        <f t="shared" si="972"/>
        <v>-0.89983951329169209</v>
      </c>
      <c r="X101">
        <f t="shared" si="973"/>
        <v>-0.352380808300088</v>
      </c>
      <c r="Y101">
        <f t="shared" si="974"/>
        <v>-0.54745870499160398</v>
      </c>
      <c r="Z101">
        <f t="shared" si="957"/>
        <v>1.0293707782163699</v>
      </c>
      <c r="AA101">
        <f t="shared" si="975"/>
        <v>-2.5649882575860001</v>
      </c>
      <c r="AB101">
        <f t="shared" si="976"/>
        <v>1.4700708476027999</v>
      </c>
      <c r="AD101">
        <f t="shared" ref="AD101:AD117" si="982">AD100+1</f>
        <v>94</v>
      </c>
      <c r="AE101">
        <f t="shared" ref="AE101:AE112" si="983">C100</f>
        <v>-0.89983951329169209</v>
      </c>
    </row>
    <row r="102">
      <c r="A102">
        <f t="shared" si="977"/>
        <v>96</v>
      </c>
      <c r="B102">
        <v>0.85739443406232341</v>
      </c>
      <c r="C102">
        <f t="shared" si="978"/>
        <v>0.87413789235646999</v>
      </c>
      <c r="E102">
        <f t="shared" si="979"/>
        <v>95</v>
      </c>
      <c r="F102">
        <f t="shared" si="980"/>
        <v>0.29356356983196702</v>
      </c>
      <c r="G102">
        <f t="shared" si="981"/>
        <v>0.76950481802130999</v>
      </c>
      <c r="V102">
        <f t="shared" si="971"/>
        <v>95</v>
      </c>
      <c r="W102">
        <f t="shared" si="972"/>
        <v>0.29356356983196702</v>
      </c>
      <c r="X102">
        <f t="shared" si="973"/>
        <v>0.76950481802130999</v>
      </c>
      <c r="Y102">
        <f t="shared" si="974"/>
        <v>-0.47594124818934302</v>
      </c>
      <c r="Z102">
        <f t="shared" si="957"/>
        <v>1.0293707782163699</v>
      </c>
      <c r="AA102">
        <f t="shared" si="975"/>
        <v>-2.4934708007837401</v>
      </c>
      <c r="AB102">
        <f t="shared" si="976"/>
        <v>1.54158830440506</v>
      </c>
      <c r="AD102">
        <f t="shared" si="982"/>
        <v>95</v>
      </c>
      <c r="AE102">
        <f t="shared" si="983"/>
        <v>0.29356356983196702</v>
      </c>
    </row>
    <row r="103">
      <c r="A103">
        <f t="shared" si="977"/>
        <v>97</v>
      </c>
      <c r="B103">
        <v>0.60817129254501401</v>
      </c>
      <c r="C103">
        <f t="shared" si="978"/>
        <v>1.0485889303820799</v>
      </c>
      <c r="E103">
        <f t="shared" si="979"/>
        <v>96</v>
      </c>
      <c r="F103">
        <f t="shared" si="980"/>
        <v>0.87413789235646999</v>
      </c>
      <c r="G103">
        <f t="shared" si="981"/>
        <v>0.98268155317098704</v>
      </c>
      <c r="V103">
        <f t="shared" si="971"/>
        <v>96</v>
      </c>
      <c r="W103">
        <f t="shared" si="972"/>
        <v>0.87413789235646999</v>
      </c>
      <c r="X103">
        <f t="shared" si="973"/>
        <v>0.98268155317098704</v>
      </c>
      <c r="Y103">
        <f t="shared" si="974"/>
        <v>-0.10854366081451698</v>
      </c>
      <c r="Z103">
        <f t="shared" si="957"/>
        <v>1.0293707782163699</v>
      </c>
      <c r="AA103">
        <f t="shared" si="975"/>
        <v>-2.1260732134089202</v>
      </c>
      <c r="AB103">
        <f t="shared" si="976"/>
        <v>1.9089858917798801</v>
      </c>
      <c r="AD103">
        <f t="shared" si="982"/>
        <v>96</v>
      </c>
      <c r="AE103">
        <f t="shared" si="983"/>
        <v>0.87413789235646999</v>
      </c>
    </row>
    <row r="104">
      <c r="A104">
        <f t="shared" si="977"/>
        <v>98</v>
      </c>
      <c r="B104">
        <v>-0.23527438435259729</v>
      </c>
      <c r="C104">
        <f t="shared" si="978"/>
        <v>0.37710360840585599</v>
      </c>
      <c r="E104">
        <f t="shared" si="979"/>
        <v>97</v>
      </c>
      <c r="F104">
        <f t="shared" si="980"/>
        <v>1.0485889303820799</v>
      </c>
      <c r="G104">
        <f t="shared" si="981"/>
        <v>0.84434175485671792</v>
      </c>
      <c r="V104">
        <f t="shared" si="971"/>
        <v>97</v>
      </c>
      <c r="W104">
        <f t="shared" si="972"/>
        <v>1.0485889303820799</v>
      </c>
      <c r="X104">
        <f t="shared" si="973"/>
        <v>0.84434175485671792</v>
      </c>
      <c r="Y104">
        <f t="shared" si="974"/>
        <v>0.20424717552536201</v>
      </c>
      <c r="Z104">
        <f t="shared" si="957"/>
        <v>1.0293707782163699</v>
      </c>
      <c r="AA104">
        <f t="shared" si="975"/>
        <v>-1.8132823770690401</v>
      </c>
      <c r="AB104">
        <f t="shared" si="976"/>
        <v>2.2217767281197598</v>
      </c>
      <c r="AD104">
        <f t="shared" si="982"/>
        <v>97</v>
      </c>
      <c r="AE104">
        <f t="shared" si="983"/>
        <v>1.0485889303820799</v>
      </c>
    </row>
    <row r="105">
      <c r="A105">
        <f t="shared" si="977"/>
        <v>99</v>
      </c>
      <c r="B105">
        <v>0.78970600372079691</v>
      </c>
      <c r="C105">
        <f t="shared" si="978"/>
        <v>1.10073340647542</v>
      </c>
      <c r="E105">
        <f t="shared" si="979"/>
        <v>98</v>
      </c>
      <c r="F105">
        <f t="shared" si="980"/>
        <v>0.37710360840585599</v>
      </c>
      <c r="G105">
        <f t="shared" si="981"/>
        <v>-2.7065764478309997e-03</v>
      </c>
      <c r="V105">
        <f t="shared" si="971"/>
        <v>98</v>
      </c>
      <c r="W105">
        <f t="shared" si="972"/>
        <v>0.37710360840585599</v>
      </c>
      <c r="X105">
        <f t="shared" si="973"/>
        <v>-2.7065764478309997e-03</v>
      </c>
      <c r="Y105">
        <f t="shared" si="974"/>
        <v>0.37981018485368701</v>
      </c>
      <c r="Z105">
        <f t="shared" si="957"/>
        <v>1.0293707782163699</v>
      </c>
      <c r="AA105">
        <f t="shared" si="975"/>
        <v>-1.63771936774071</v>
      </c>
      <c r="AB105">
        <f t="shared" si="976"/>
        <v>2.3973397374480898</v>
      </c>
      <c r="AD105">
        <f t="shared" si="982"/>
        <v>98</v>
      </c>
      <c r="AE105">
        <f t="shared" si="983"/>
        <v>0.37710360840585599</v>
      </c>
    </row>
    <row r="106">
      <c r="A106">
        <f t="shared" si="977"/>
        <v>100</v>
      </c>
      <c r="B106">
        <v>-1.0561154940171853</v>
      </c>
      <c r="C106">
        <f t="shared" si="978"/>
        <v>-0.44354331022855498</v>
      </c>
      <c r="E106">
        <f t="shared" si="979"/>
        <v>99</v>
      </c>
      <c r="F106">
        <f t="shared" si="980"/>
        <v>1.10073340647542</v>
      </c>
      <c r="G106">
        <f t="shared" si="981"/>
        <v>0.84066497434069887</v>
      </c>
      <c r="V106">
        <f t="shared" si="971"/>
        <v>99</v>
      </c>
      <c r="W106">
        <f t="shared" si="972"/>
        <v>1.10073340647542</v>
      </c>
      <c r="X106">
        <f t="shared" si="973"/>
        <v>0.84066497434069887</v>
      </c>
      <c r="Y106">
        <f t="shared" si="974"/>
        <v>0.26006843213472097</v>
      </c>
      <c r="Z106">
        <f t="shared" si="957"/>
        <v>1.0293707782163699</v>
      </c>
      <c r="AA106">
        <f t="shared" si="975"/>
        <v>-1.7574611204596799</v>
      </c>
      <c r="AB106">
        <f t="shared" si="976"/>
        <v>2.2775979847291201</v>
      </c>
      <c r="AD106">
        <f t="shared" si="982"/>
        <v>99</v>
      </c>
      <c r="AE106">
        <f t="shared" si="983"/>
        <v>1.10073340647542</v>
      </c>
    </row>
    <row r="107">
      <c r="A107">
        <f t="shared" si="977"/>
        <v>101</v>
      </c>
      <c r="B107">
        <v>0.22586923055446756</v>
      </c>
      <c r="C107">
        <f t="shared" si="978"/>
        <v>0.12661201219791701</v>
      </c>
      <c r="E107">
        <f t="shared" si="979"/>
        <v>100</v>
      </c>
      <c r="F107">
        <f t="shared" si="980"/>
        <v>-0.44354331022855498</v>
      </c>
      <c r="G107">
        <f t="shared" si="981"/>
        <v>-0.86064587111772295</v>
      </c>
      <c r="V107">
        <f t="shared" si="971"/>
        <v>100</v>
      </c>
      <c r="W107">
        <f t="shared" si="972"/>
        <v>-0.44354331022855498</v>
      </c>
      <c r="X107">
        <f t="shared" si="973"/>
        <v>-0.86064587111772295</v>
      </c>
      <c r="Y107">
        <f t="shared" si="974"/>
        <v>0.41710256088916797</v>
      </c>
      <c r="Z107">
        <f t="shared" si="957"/>
        <v>1.0293707782163699</v>
      </c>
      <c r="AA107">
        <f t="shared" si="975"/>
        <v>-1.6004269917052301</v>
      </c>
      <c r="AB107">
        <f t="shared" si="976"/>
        <v>2.4346321134835698</v>
      </c>
      <c r="AD107">
        <f t="shared" si="982"/>
        <v>100</v>
      </c>
      <c r="AE107">
        <f t="shared" si="983"/>
        <v>-0.44354331022855498</v>
      </c>
    </row>
    <row r="108">
      <c r="A108">
        <f t="shared" si="977"/>
        <v>102</v>
      </c>
      <c r="B108">
        <v>0.57520223729110798</v>
      </c>
      <c r="C108">
        <f t="shared" si="978"/>
        <v>0.61865679971875598</v>
      </c>
      <c r="E108">
        <f t="shared" si="979"/>
        <v>101</v>
      </c>
      <c r="F108">
        <f t="shared" si="980"/>
        <v>0.12661201219791701</v>
      </c>
      <c r="G108">
        <f t="shared" si="981"/>
        <v>8.4333094075070003e-02</v>
      </c>
      <c r="V108">
        <f t="shared" si="971"/>
        <v>101</v>
      </c>
      <c r="W108">
        <f t="shared" si="972"/>
        <v>0.12661201219791701</v>
      </c>
      <c r="X108">
        <f t="shared" si="973"/>
        <v>8.4333094075070003e-02</v>
      </c>
      <c r="Y108">
        <f t="shared" si="974"/>
        <v>4.2278918122847002e-02</v>
      </c>
      <c r="Z108">
        <f t="shared" si="957"/>
        <v>1.0293707782163699</v>
      </c>
      <c r="AA108">
        <f t="shared" si="975"/>
        <v>-1.9752506344715499</v>
      </c>
      <c r="AB108">
        <f t="shared" si="976"/>
        <v>2.0598084707172499</v>
      </c>
      <c r="AD108">
        <f t="shared" si="982"/>
        <v>101</v>
      </c>
      <c r="AE108">
        <f t="shared" si="983"/>
        <v>0.12661201219791701</v>
      </c>
    </row>
    <row r="109">
      <c r="A109">
        <f t="shared" si="977"/>
        <v>103</v>
      </c>
      <c r="B109">
        <v>1.0513583351687668</v>
      </c>
      <c r="C109">
        <f t="shared" si="978"/>
        <v>1.3693776475136801</v>
      </c>
      <c r="E109">
        <f t="shared" si="979"/>
        <v>102</v>
      </c>
      <c r="F109">
        <f t="shared" si="980"/>
        <v>0.61865679971875598</v>
      </c>
      <c r="G109">
        <f t="shared" si="981"/>
        <v>0.56569599104482504</v>
      </c>
      <c r="V109">
        <f t="shared" si="971"/>
        <v>102</v>
      </c>
      <c r="W109">
        <f t="shared" si="972"/>
        <v>0.61865679971875598</v>
      </c>
      <c r="X109">
        <f t="shared" si="973"/>
        <v>0.56569599104482504</v>
      </c>
      <c r="Y109">
        <f t="shared" si="974"/>
        <v>5.2960808673931006e-02</v>
      </c>
      <c r="Z109">
        <f t="shared" si="957"/>
        <v>1.0293707782163699</v>
      </c>
      <c r="AA109">
        <f t="shared" si="975"/>
        <v>-1.96456874392047</v>
      </c>
      <c r="AB109">
        <f t="shared" si="976"/>
        <v>2.0704903612683299</v>
      </c>
      <c r="AD109">
        <f t="shared" si="982"/>
        <v>102</v>
      </c>
      <c r="AE109">
        <f t="shared" si="983"/>
        <v>0.61865679971875598</v>
      </c>
    </row>
    <row r="110">
      <c r="A110">
        <f t="shared" si="977"/>
        <v>104</v>
      </c>
      <c r="B110">
        <v>1.3149534009556495e-02</v>
      </c>
      <c r="C110">
        <f t="shared" si="978"/>
        <v>0.761442220235378</v>
      </c>
      <c r="E110">
        <f t="shared" si="979"/>
        <v>103</v>
      </c>
      <c r="F110">
        <f t="shared" si="980"/>
        <v>1.3693776475136801</v>
      </c>
      <c r="G110">
        <f t="shared" si="981"/>
        <v>1.1725167580740501</v>
      </c>
      <c r="V110">
        <f t="shared" si="971"/>
        <v>103</v>
      </c>
      <c r="W110">
        <f t="shared" si="972"/>
        <v>1.3693776475136801</v>
      </c>
      <c r="X110">
        <f t="shared" si="973"/>
        <v>1.1725167580740501</v>
      </c>
      <c r="Y110">
        <f t="shared" si="974"/>
        <v>0.19686088943963001</v>
      </c>
      <c r="Z110">
        <f t="shared" si="957"/>
        <v>1.0293707782163699</v>
      </c>
      <c r="AA110">
        <f t="shared" si="975"/>
        <v>-1.8206686631547699</v>
      </c>
      <c r="AB110">
        <f t="shared" si="976"/>
        <v>2.2143904420340301</v>
      </c>
      <c r="AD110">
        <f t="shared" si="982"/>
        <v>103</v>
      </c>
      <c r="AE110">
        <f t="shared" si="983"/>
        <v>1.3693776475136801</v>
      </c>
    </row>
    <row r="111">
      <c r="A111">
        <f t="shared" si="977"/>
        <v>105</v>
      </c>
      <c r="B111" s="14">
        <v>1.4243854081201066</v>
      </c>
      <c r="C111" s="14">
        <f t="shared" si="978"/>
        <v>1.9547650554829701</v>
      </c>
      <c r="E111">
        <f t="shared" si="979"/>
        <v>104</v>
      </c>
      <c r="F111">
        <f t="shared" si="980"/>
        <v>0.761442220235378</v>
      </c>
      <c r="G111">
        <f t="shared" si="981"/>
        <v>0.29360026564758401</v>
      </c>
      <c r="V111">
        <f t="shared" si="971"/>
        <v>104</v>
      </c>
      <c r="W111">
        <f t="shared" si="972"/>
        <v>0.761442220235378</v>
      </c>
      <c r="X111">
        <f t="shared" si="973"/>
        <v>0.29360026564758401</v>
      </c>
      <c r="Y111">
        <f t="shared" si="974"/>
        <v>0.46784195458779398</v>
      </c>
      <c r="Z111">
        <f t="shared" si="957"/>
        <v>1.0293707782163699</v>
      </c>
      <c r="AA111">
        <f t="shared" si="975"/>
        <v>-1.54968759800661</v>
      </c>
      <c r="AB111">
        <f t="shared" si="976"/>
        <v>2.4853715071821898</v>
      </c>
      <c r="AD111">
        <f t="shared" si="982"/>
        <v>104</v>
      </c>
      <c r="AE111">
        <f t="shared" si="983"/>
        <v>0.761442220235378</v>
      </c>
    </row>
    <row r="112">
      <c r="E112" s="14">
        <f t="shared" si="979"/>
        <v>105</v>
      </c>
      <c r="F112" s="14">
        <f t="shared" si="980"/>
        <v>1.9547650554829701</v>
      </c>
      <c r="G112" s="14">
        <f t="shared" si="981"/>
        <v>1.5501771913733999</v>
      </c>
      <c r="V112">
        <f t="shared" si="971"/>
        <v>105</v>
      </c>
      <c r="W112">
        <f t="shared" si="972"/>
        <v>1.9547650554829701</v>
      </c>
      <c r="X112">
        <f t="shared" si="973"/>
        <v>1.5501771913733999</v>
      </c>
      <c r="Y112">
        <f t="shared" si="974"/>
        <v>0.40458786410957004</v>
      </c>
      <c r="Z112">
        <f t="shared" si="957"/>
        <v>1.0293707782163699</v>
      </c>
      <c r="AA112">
        <f t="shared" si="975"/>
        <v>-1.61294168848483</v>
      </c>
      <c r="AB112">
        <f t="shared" si="976"/>
        <v>2.4221174167039701</v>
      </c>
      <c r="AD112" s="14">
        <f t="shared" si="982"/>
        <v>105</v>
      </c>
      <c r="AE112" s="14">
        <f t="shared" si="983"/>
        <v>1.9547650554829701</v>
      </c>
    </row>
    <row r="113">
      <c r="B113" s="20" t="s">
        <v>576</v>
      </c>
      <c r="V113">
        <f t="shared" ref="V113:V117" si="984">V112+1</f>
        <v>106</v>
      </c>
      <c r="Y113">
        <f>SUMPRODUCT(W112,J$8)+SUMPRODUCT(X112,K$8)</f>
        <v>0.71764287218835698</v>
      </c>
      <c r="Z113" t="e">
        <f t="shared" ref="Z113:Z117" si="985">K$18*SQRT(SUMSQ(N$18:N18))</f>
        <v>#NAME?</v>
      </c>
      <c r="AA113" t="e">
        <f t="shared" si="975"/>
        <v>#NAME?</v>
      </c>
      <c r="AB113" t="e">
        <f t="shared" si="976"/>
        <v>#NAME?</v>
      </c>
      <c r="AD113">
        <f t="shared" si="982"/>
        <v>106</v>
      </c>
      <c r="AE113">
        <f t="shared" ref="AE113:AE117" si="986">Y113</f>
        <v>0.71764287218835698</v>
      </c>
    </row>
    <row r="114">
      <c r="V114">
        <f t="shared" si="984"/>
        <v>107</v>
      </c>
      <c r="Y114">
        <f>SUMPRODUCT(Y113,J8)</f>
        <v>0.49284436460406</v>
      </c>
      <c r="Z114" t="e">
        <f t="shared" si="985"/>
        <v>#NAME?</v>
      </c>
      <c r="AA114" t="e">
        <f t="shared" si="975"/>
        <v>#NAME?</v>
      </c>
      <c r="AB114" t="e">
        <f t="shared" si="976"/>
        <v>#NAME?</v>
      </c>
      <c r="AD114">
        <f t="shared" si="982"/>
        <v>107</v>
      </c>
      <c r="AE114">
        <f t="shared" si="986"/>
        <v>0.49284436460406</v>
      </c>
    </row>
    <row r="115">
      <c r="V115">
        <f t="shared" si="984"/>
        <v>108</v>
      </c>
      <c r="Y115">
        <f>SUMPRODUCT(Y114,J8)</f>
        <v>0.33846301152731001</v>
      </c>
      <c r="Z115" t="e">
        <f t="shared" si="985"/>
        <v>#NAME?</v>
      </c>
      <c r="AA115" t="e">
        <f t="shared" si="975"/>
        <v>#NAME?</v>
      </c>
      <c r="AB115" t="e">
        <f t="shared" si="976"/>
        <v>#NAME?</v>
      </c>
      <c r="AD115">
        <f t="shared" si="982"/>
        <v>108</v>
      </c>
      <c r="AE115">
        <f t="shared" si="986"/>
        <v>0.33846301152731001</v>
      </c>
    </row>
    <row r="116">
      <c r="V116">
        <f t="shared" si="984"/>
        <v>109</v>
      </c>
      <c r="Y116">
        <f>SUMPRODUCT(Y115,J8)</f>
        <v>0.232440945660744</v>
      </c>
      <c r="Z116" t="e">
        <f t="shared" si="985"/>
        <v>#NAME?</v>
      </c>
      <c r="AA116" t="e">
        <f t="shared" si="975"/>
        <v>#NAME?</v>
      </c>
      <c r="AB116" t="e">
        <f t="shared" si="976"/>
        <v>#NAME?</v>
      </c>
      <c r="AD116">
        <f t="shared" si="982"/>
        <v>109</v>
      </c>
      <c r="AE116">
        <f t="shared" si="986"/>
        <v>0.232440945660744</v>
      </c>
    </row>
    <row r="117">
      <c r="V117" s="14">
        <f t="shared" si="984"/>
        <v>110</v>
      </c>
      <c r="W117" s="14"/>
      <c r="X117" s="14"/>
      <c r="Y117" s="14">
        <f>SUMPRODUCT(Y116,J8)</f>
        <v>0.15962983067442599</v>
      </c>
      <c r="Z117" s="14" t="e">
        <f t="shared" si="985"/>
        <v>#NAME?</v>
      </c>
      <c r="AA117" s="14" t="e">
        <f t="shared" si="975"/>
        <v>#NAME?</v>
      </c>
      <c r="AB117" s="14" t="e">
        <f t="shared" si="976"/>
        <v>#NAME?</v>
      </c>
      <c r="AD117" s="14">
        <f t="shared" si="982"/>
        <v>110</v>
      </c>
      <c r="AE117" s="14">
        <f t="shared" si="986"/>
        <v>0.15962983067442599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18" max="20" width="9.2678569999999993"/>
    <col customWidth="1" min="21" max="21" width="9.1785709999999998"/>
  </cols>
  <sheetData>
    <row r="1">
      <c r="A1" s="1" t="s">
        <v>574</v>
      </c>
    </row>
    <row r="2">
      <c r="A2" s="55"/>
      <c r="B2" s="55"/>
      <c r="C2" s="55"/>
    </row>
    <row r="3" ht="15" customHeight="1">
      <c r="A3" s="55" t="s">
        <v>577</v>
      </c>
      <c r="B3" s="55"/>
      <c r="C3" s="55"/>
      <c r="E3" t="s">
        <v>578</v>
      </c>
      <c r="I3" t="s">
        <v>475</v>
      </c>
      <c r="M3" t="s">
        <v>476</v>
      </c>
      <c r="Q3" t="s">
        <v>477</v>
      </c>
      <c r="W3" t="s">
        <v>478</v>
      </c>
      <c r="AE3" t="s">
        <v>479</v>
      </c>
    </row>
    <row r="4">
      <c r="A4" s="55"/>
      <c r="B4" s="55"/>
      <c r="C4" s="55"/>
      <c r="Z4" t="s">
        <v>385</v>
      </c>
      <c r="AA4">
        <v>5.0000000000000003e-02</v>
      </c>
    </row>
    <row r="5">
      <c r="B5" s="4" t="s">
        <v>342</v>
      </c>
      <c r="C5" s="4" t="s">
        <v>343</v>
      </c>
      <c r="E5" s="24" t="s">
        <v>355</v>
      </c>
      <c r="F5" s="24" t="s">
        <v>173</v>
      </c>
      <c r="G5" s="24" t="s">
        <v>480</v>
      </c>
      <c r="I5" s="24" t="s">
        <v>481</v>
      </c>
      <c r="J5" s="24" t="s">
        <v>482</v>
      </c>
      <c r="K5" s="24" t="s">
        <v>483</v>
      </c>
      <c r="M5" s="24" t="s">
        <v>469</v>
      </c>
      <c r="N5" s="24" t="s">
        <v>470</v>
      </c>
      <c r="O5" s="24" t="s">
        <v>484</v>
      </c>
      <c r="Q5" s="24" t="s">
        <v>485</v>
      </c>
      <c r="R5" s="24" t="s">
        <v>391</v>
      </c>
      <c r="S5" s="24" t="s">
        <v>183</v>
      </c>
      <c r="T5" s="24" t="s">
        <v>582</v>
      </c>
      <c r="U5" s="24" t="s">
        <v>189</v>
      </c>
      <c r="W5" s="24" t="s">
        <v>355</v>
      </c>
      <c r="X5" s="24" t="s">
        <v>173</v>
      </c>
      <c r="Y5" s="24" t="s">
        <v>480</v>
      </c>
      <c r="Z5" s="24" t="s">
        <v>208</v>
      </c>
      <c r="AA5" s="24" t="s">
        <v>183</v>
      </c>
      <c r="AB5" s="24" t="s">
        <v>215</v>
      </c>
      <c r="AC5" s="24" t="s">
        <v>216</v>
      </c>
      <c r="AE5" s="24" t="s">
        <v>355</v>
      </c>
      <c r="AF5" s="24" t="s">
        <v>193</v>
      </c>
    </row>
    <row r="6">
      <c r="B6" s="15"/>
      <c r="C6" s="15"/>
      <c r="E6">
        <v>1</v>
      </c>
      <c r="F6" t="e">
        <f t="shared" ref="F6:F8" si="987">C7-K$7</f>
        <v>#NAME?</v>
      </c>
      <c r="G6">
        <v>0</v>
      </c>
      <c r="I6" s="15">
        <v>1</v>
      </c>
      <c r="J6" t="e">
        <f>R7</f>
        <v>#NAME?</v>
      </c>
      <c r="K6" t="e">
        <f>R8</f>
        <v>#NAME?</v>
      </c>
      <c r="M6" s="26" t="e">
        <v>#NAME?</v>
      </c>
      <c r="N6" s="26" t="e">
        <v>#NAME?</v>
      </c>
      <c r="O6" s="26" t="e">
        <v>#NAME?</v>
      </c>
      <c r="Q6" t="s">
        <v>494</v>
      </c>
      <c r="R6" t="e">
        <v>#NAME?</v>
      </c>
      <c r="S6" t="e">
        <v>#NAME?</v>
      </c>
      <c r="T6" t="e">
        <f t="shared" ref="T6:T8" si="988">R6/S6</f>
        <v>#NAME?</v>
      </c>
      <c r="U6" t="e">
        <f t="shared" ref="U6:U8" si="989">TDIST(ABS(T6),K$19-K$11-K$12-1,2)</f>
        <v>#NAME?</v>
      </c>
      <c r="W6">
        <f t="shared" ref="W6:W9" si="990">E6</f>
        <v>1</v>
      </c>
      <c r="X6" t="e">
        <f t="shared" ref="X6:X9" si="991">F6</f>
        <v>#NAME?</v>
      </c>
      <c r="Y6">
        <f t="shared" ref="Y6:Y9" si="992">G6</f>
        <v>0</v>
      </c>
      <c r="Z6" t="e">
        <f t="shared" ref="Z6:Z9" si="993">X6-Y6</f>
        <v>#NAME?</v>
      </c>
      <c r="AA6" t="e">
        <f t="shared" ref="AA6:AA69" si="994">K$16</f>
        <v>#NAME?</v>
      </c>
      <c r="AB6" t="e">
        <f t="shared" ref="AB6:AB9" si="995">Z6-NORMSINV(1-AA$4/2)*AA6</f>
        <v>#NAME?</v>
      </c>
      <c r="AC6" t="e">
        <f t="shared" ref="AC6:AC9" si="996">Z6+NORMSINV(1-AA$4/2)*AA6</f>
        <v>#NAME?</v>
      </c>
      <c r="AE6">
        <v>1</v>
      </c>
      <c r="AF6">
        <f t="shared" ref="AF6:AF8" si="997">C7</f>
        <v>3.1176756475655298</v>
      </c>
    </row>
    <row r="7">
      <c r="A7">
        <v>1</v>
      </c>
      <c r="B7">
        <v>0.11767564756553414</v>
      </c>
      <c r="C7">
        <f t="shared" ref="C7:C9" si="998">3+0.7*C6+B7-0.2*B6</f>
        <v>3.1176756475655298</v>
      </c>
      <c r="E7">
        <f t="shared" ref="E7:E10" si="999">E6+1</f>
        <v>2</v>
      </c>
      <c r="F7" t="e">
        <f t="shared" si="987"/>
        <v>#NAME?</v>
      </c>
      <c r="G7" t="e">
        <f t="shared" ref="G7:G9" si="1000">F7-SUMPRODUCT(F6,J$6)-SUMPRODUCT(G6,K$6)</f>
        <v>#NAME?</v>
      </c>
      <c r="I7" s="17" t="s">
        <v>494</v>
      </c>
      <c r="J7" s="14" t="e">
        <f>R6</f>
        <v>#NAME?</v>
      </c>
      <c r="K7" s="14" t="e">
        <f>J7/(1-SUM(J6))</f>
        <v>#NAME?</v>
      </c>
      <c r="Q7" t="s">
        <v>488</v>
      </c>
      <c r="R7" t="e">
        <v>#NAME?</v>
      </c>
      <c r="S7" t="e">
        <v>#NAME?</v>
      </c>
      <c r="T7" t="e">
        <f t="shared" si="988"/>
        <v>#NAME?</v>
      </c>
      <c r="U7" t="e">
        <f t="shared" si="989"/>
        <v>#NAME?</v>
      </c>
      <c r="W7">
        <f t="shared" si="990"/>
        <v>2</v>
      </c>
      <c r="X7" t="e">
        <f t="shared" si="991"/>
        <v>#NAME?</v>
      </c>
      <c r="Y7" t="e">
        <f t="shared" si="992"/>
        <v>#NAME?</v>
      </c>
      <c r="Z7" t="e">
        <f t="shared" si="993"/>
        <v>#NAME?</v>
      </c>
      <c r="AA7" t="e">
        <f t="shared" si="994"/>
        <v>#NAME?</v>
      </c>
      <c r="AB7" t="e">
        <f t="shared" si="995"/>
        <v>#NAME?</v>
      </c>
      <c r="AC7" t="e">
        <f t="shared" si="996"/>
        <v>#NAME?</v>
      </c>
      <c r="AE7">
        <f t="shared" ref="AE7:AE10" si="1001">AE6+1</f>
        <v>2</v>
      </c>
      <c r="AF7">
        <f t="shared" si="997"/>
        <v>5.8082510857989202</v>
      </c>
    </row>
    <row r="8">
      <c r="A8">
        <f t="shared" ref="A8:A10" si="1002">A7+1</f>
        <v>2</v>
      </c>
      <c r="B8">
        <v>0.64941326201616079</v>
      </c>
      <c r="C8">
        <f t="shared" si="998"/>
        <v>5.8082510857989202</v>
      </c>
      <c r="E8">
        <f t="shared" si="999"/>
        <v>3</v>
      </c>
      <c r="F8" t="e">
        <f t="shared" si="987"/>
        <v>#NAME?</v>
      </c>
      <c r="G8" t="e">
        <f t="shared" si="1000"/>
        <v>#NAME?</v>
      </c>
      <c r="M8" t="s">
        <v>495</v>
      </c>
      <c r="Q8" s="14" t="s">
        <v>581</v>
      </c>
      <c r="R8" s="14" t="e">
        <v>#NAME?</v>
      </c>
      <c r="S8" s="14" t="e">
        <v>#NAME?</v>
      </c>
      <c r="T8" s="14" t="e">
        <f t="shared" si="988"/>
        <v>#NAME?</v>
      </c>
      <c r="U8" s="14" t="e">
        <f t="shared" si="989"/>
        <v>#NAME?</v>
      </c>
      <c r="W8">
        <f t="shared" si="990"/>
        <v>3</v>
      </c>
      <c r="X8" t="e">
        <f t="shared" si="991"/>
        <v>#NAME?</v>
      </c>
      <c r="Y8" t="e">
        <f t="shared" si="992"/>
        <v>#NAME?</v>
      </c>
      <c r="Z8" t="e">
        <f t="shared" si="993"/>
        <v>#NAME?</v>
      </c>
      <c r="AA8" t="e">
        <f t="shared" si="994"/>
        <v>#NAME?</v>
      </c>
      <c r="AB8" t="e">
        <f t="shared" si="995"/>
        <v>#NAME?</v>
      </c>
      <c r="AC8" t="e">
        <f t="shared" si="996"/>
        <v>#NAME?</v>
      </c>
      <c r="AE8">
        <f t="shared" si="1001"/>
        <v>3</v>
      </c>
      <c r="AF8">
        <f t="shared" si="997"/>
        <v>4.9067685983817801</v>
      </c>
    </row>
    <row r="9">
      <c r="A9">
        <f t="shared" si="1002"/>
        <v>3</v>
      </c>
      <c r="B9">
        <v>-2.0291245092742414</v>
      </c>
      <c r="C9">
        <f t="shared" si="998"/>
        <v>4.9067685983817801</v>
      </c>
      <c r="E9">
        <f t="shared" si="999"/>
        <v>4</v>
      </c>
      <c r="F9" t="e">
        <f t="shared" ref="F9:F72" si="1003">C10-K$7</f>
        <v>#NAME?</v>
      </c>
      <c r="G9" t="e">
        <f t="shared" si="1000"/>
        <v>#NAME?</v>
      </c>
      <c r="J9" t="s">
        <v>464</v>
      </c>
      <c r="K9" s="18" t="e">
        <f>SUMSQ(G7:G110)</f>
        <v>#NAME?</v>
      </c>
      <c r="W9">
        <f t="shared" si="990"/>
        <v>4</v>
      </c>
      <c r="X9" t="e">
        <f t="shared" si="991"/>
        <v>#NAME?</v>
      </c>
      <c r="Y9" t="e">
        <f t="shared" si="992"/>
        <v>#NAME?</v>
      </c>
      <c r="Z9" t="e">
        <f t="shared" si="993"/>
        <v>#NAME?</v>
      </c>
      <c r="AA9" t="e">
        <f t="shared" si="994"/>
        <v>#NAME?</v>
      </c>
      <c r="AB9" t="e">
        <f t="shared" si="995"/>
        <v>#NAME?</v>
      </c>
      <c r="AC9" t="e">
        <f t="shared" si="996"/>
        <v>#NAME?</v>
      </c>
      <c r="AE9">
        <f t="shared" si="1001"/>
        <v>4</v>
      </c>
      <c r="AF9">
        <f t="shared" ref="AF9:AF72" si="1004">C10</f>
        <v>6.1194744822602498</v>
      </c>
    </row>
    <row r="10">
      <c r="A10">
        <f t="shared" si="1002"/>
        <v>4</v>
      </c>
      <c r="B10">
        <v>-0.72108843846184933</v>
      </c>
      <c r="C10">
        <f>3+0.7*C9+B10-0.2*B9</f>
        <v>6.1194744822602498</v>
      </c>
      <c r="E10">
        <f t="shared" si="999"/>
        <v>5</v>
      </c>
      <c r="F10" t="e">
        <f t="shared" si="1003"/>
        <v>#NAME?</v>
      </c>
      <c r="G10" t="e">
        <f>F10-SUMPRODUCT(F9,J$6)-SUMPRODUCT(G9,K$6)</f>
        <v>#NAME?</v>
      </c>
      <c r="M10" s="24" t="s">
        <v>469</v>
      </c>
      <c r="N10" s="24" t="s">
        <v>470</v>
      </c>
      <c r="O10" s="24" t="s">
        <v>484</v>
      </c>
      <c r="Q10" t="e">
        <v>#NAME?</v>
      </c>
      <c r="R10" t="e">
        <v>#NAME?</v>
      </c>
      <c r="S10" t="e">
        <v>#NAME?</v>
      </c>
      <c r="T10" t="e">
        <v>#NAME?</v>
      </c>
      <c r="U10" t="e">
        <v>#NAME?</v>
      </c>
      <c r="W10">
        <f t="shared" ref="W10:W73" si="1005">E10</f>
        <v>5</v>
      </c>
      <c r="X10" t="e">
        <f t="shared" ref="X10:X73" si="1006">F10</f>
        <v>#NAME?</v>
      </c>
      <c r="Y10" t="e">
        <f t="shared" ref="Y10:Y73" si="1007">G10</f>
        <v>#NAME?</v>
      </c>
      <c r="Z10" t="e">
        <f t="shared" ref="Z10:Z73" si="1008">X10-Y10</f>
        <v>#NAME?</v>
      </c>
      <c r="AA10" t="e">
        <f t="shared" si="994"/>
        <v>#NAME?</v>
      </c>
      <c r="AB10" t="e">
        <f t="shared" ref="AB10:AB73" si="1009">Z10-NORMSINV(1-AA$4/2)*AA10</f>
        <v>#NAME?</v>
      </c>
      <c r="AC10" t="e">
        <f t="shared" ref="AC10:AC73" si="1010">Z10+NORMSINV(1-AA$4/2)*AA10</f>
        <v>#NAME?</v>
      </c>
      <c r="AE10">
        <f t="shared" si="1001"/>
        <v>5</v>
      </c>
      <c r="AF10">
        <f t="shared" si="1004"/>
        <v>8.13532631176572</v>
      </c>
    </row>
    <row r="11">
      <c r="A11">
        <f t="shared" ref="A11:A74" si="1011">A10+1</f>
        <v>5</v>
      </c>
      <c r="B11">
        <v>0.70747648649116812</v>
      </c>
      <c r="C11">
        <f t="shared" ref="C11:C74" si="1012">3+0.7*C10+B11-0.2*B10</f>
        <v>8.13532631176572</v>
      </c>
      <c r="E11">
        <f t="shared" ref="E11:E74" si="1013">E10+1</f>
        <v>6</v>
      </c>
      <c r="F11" t="e">
        <f t="shared" si="1003"/>
        <v>#NAME?</v>
      </c>
      <c r="G11" t="e">
        <f t="shared" ref="G11:G74" si="1014">F11-SUMPRODUCT(F10,J$6)-SUMPRODUCT(G10,K$6)</f>
        <v>#NAME?</v>
      </c>
      <c r="J11" t="s">
        <v>497</v>
      </c>
      <c r="K11" s="7">
        <v>1</v>
      </c>
      <c r="M11" s="26" t="e">
        <v>#NAME?</v>
      </c>
      <c r="N11" s="26" t="e">
        <v>#NAME?</v>
      </c>
      <c r="O11" s="26" t="e">
        <v>#NAME?</v>
      </c>
      <c r="Q11" t="e">
        <v>#NAME?</v>
      </c>
      <c r="R11" s="5" t="e">
        <v>#NAME?</v>
      </c>
      <c r="S11" s="42" t="e">
        <v>#NAME?</v>
      </c>
      <c r="T11" s="42" t="e">
        <v>#NAME?</v>
      </c>
      <c r="U11" s="6" t="e">
        <v>#NAME?</v>
      </c>
      <c r="W11">
        <f t="shared" si="1005"/>
        <v>6</v>
      </c>
      <c r="X11" t="e">
        <f t="shared" si="1006"/>
        <v>#NAME?</v>
      </c>
      <c r="Y11" t="e">
        <f t="shared" si="1007"/>
        <v>#NAME?</v>
      </c>
      <c r="Z11" t="e">
        <f t="shared" si="1008"/>
        <v>#NAME?</v>
      </c>
      <c r="AA11" t="e">
        <f t="shared" si="994"/>
        <v>#NAME?</v>
      </c>
      <c r="AB11" t="e">
        <f t="shared" si="1009"/>
        <v>#NAME?</v>
      </c>
      <c r="AC11" t="e">
        <f t="shared" si="1010"/>
        <v>#NAME?</v>
      </c>
      <c r="AE11">
        <f t="shared" ref="AE11:AE74" si="1015">AE10+1</f>
        <v>6</v>
      </c>
      <c r="AF11">
        <f t="shared" si="1004"/>
        <v>9.3448674266459903</v>
      </c>
    </row>
    <row r="12">
      <c r="A12">
        <f t="shared" si="1011"/>
        <v>6</v>
      </c>
      <c r="B12">
        <v>0.79163430570821358</v>
      </c>
      <c r="C12">
        <f t="shared" si="1012"/>
        <v>9.3448674266459903</v>
      </c>
      <c r="E12">
        <f t="shared" si="1013"/>
        <v>7</v>
      </c>
      <c r="F12" t="e">
        <f t="shared" si="1003"/>
        <v>#NAME?</v>
      </c>
      <c r="G12" t="e">
        <f t="shared" si="1014"/>
        <v>#NAME?</v>
      </c>
      <c r="J12" t="s">
        <v>498</v>
      </c>
      <c r="K12" s="10">
        <v>1</v>
      </c>
      <c r="Q12" t="e">
        <v>#NAME?</v>
      </c>
      <c r="R12" s="8" t="e">
        <v>#NAME?</v>
      </c>
      <c r="S12" t="e">
        <v>#NAME?</v>
      </c>
      <c r="T12" t="e">
        <v>#NAME?</v>
      </c>
      <c r="U12" s="9" t="e">
        <v>#NAME?</v>
      </c>
      <c r="W12">
        <f t="shared" si="1005"/>
        <v>7</v>
      </c>
      <c r="X12" t="e">
        <f t="shared" si="1006"/>
        <v>#NAME?</v>
      </c>
      <c r="Y12" t="e">
        <f t="shared" si="1007"/>
        <v>#NAME?</v>
      </c>
      <c r="Z12" t="e">
        <f t="shared" si="1008"/>
        <v>#NAME?</v>
      </c>
      <c r="AA12" t="e">
        <f t="shared" si="994"/>
        <v>#NAME?</v>
      </c>
      <c r="AB12" t="e">
        <f t="shared" si="1009"/>
        <v>#NAME?</v>
      </c>
      <c r="AC12" t="e">
        <f t="shared" si="1010"/>
        <v>#NAME?</v>
      </c>
      <c r="AE12">
        <f t="shared" si="1015"/>
        <v>7</v>
      </c>
      <c r="AF12">
        <f t="shared" si="1004"/>
        <v>9.1476506838871696</v>
      </c>
    </row>
    <row r="13">
      <c r="A13">
        <f t="shared" si="1011"/>
        <v>7</v>
      </c>
      <c r="B13">
        <v>-0.23542965362338003</v>
      </c>
      <c r="C13">
        <f t="shared" si="1012"/>
        <v>9.1476506838871696</v>
      </c>
      <c r="E13">
        <f t="shared" si="1013"/>
        <v>8</v>
      </c>
      <c r="F13" t="e">
        <f t="shared" si="1003"/>
        <v>#NAME?</v>
      </c>
      <c r="G13" t="e">
        <f t="shared" si="1014"/>
        <v>#NAME?</v>
      </c>
      <c r="J13" t="s">
        <v>181</v>
      </c>
      <c r="K13" s="10">
        <v>0</v>
      </c>
      <c r="M13" t="s">
        <v>499</v>
      </c>
      <c r="Q13" t="e">
        <v>#NAME?</v>
      </c>
      <c r="R13" s="11" t="e">
        <v>#NAME?</v>
      </c>
      <c r="S13" s="14" t="e">
        <v>#NAME?</v>
      </c>
      <c r="T13" s="14" t="e">
        <v>#NAME?</v>
      </c>
      <c r="U13" s="12" t="e">
        <v>#NAME?</v>
      </c>
      <c r="W13">
        <f t="shared" si="1005"/>
        <v>8</v>
      </c>
      <c r="X13" t="e">
        <f t="shared" si="1006"/>
        <v>#NAME?</v>
      </c>
      <c r="Y13" t="e">
        <f t="shared" si="1007"/>
        <v>#NAME?</v>
      </c>
      <c r="Z13" t="e">
        <f t="shared" si="1008"/>
        <v>#NAME?</v>
      </c>
      <c r="AA13" t="e">
        <f t="shared" si="994"/>
        <v>#NAME?</v>
      </c>
      <c r="AB13" t="e">
        <f t="shared" si="1009"/>
        <v>#NAME?</v>
      </c>
      <c r="AC13" t="e">
        <f t="shared" si="1010"/>
        <v>#NAME?</v>
      </c>
      <c r="AE13">
        <f t="shared" si="1015"/>
        <v>8</v>
      </c>
      <c r="AF13">
        <f t="shared" si="1004"/>
        <v>8.1014932813029894</v>
      </c>
    </row>
    <row r="14">
      <c r="A14">
        <f t="shared" si="1011"/>
        <v>8</v>
      </c>
      <c r="B14">
        <v>-1.3489481281427076</v>
      </c>
      <c r="C14">
        <f t="shared" si="1012"/>
        <v>8.1014932813029894</v>
      </c>
      <c r="E14">
        <f t="shared" si="1013"/>
        <v>9</v>
      </c>
      <c r="F14" t="e">
        <f t="shared" si="1003"/>
        <v>#NAME?</v>
      </c>
      <c r="G14" t="e">
        <f t="shared" si="1014"/>
        <v>#NAME?</v>
      </c>
      <c r="J14" t="s">
        <v>500</v>
      </c>
      <c r="K14" s="10" t="e">
        <f>AVERAGE(G7:G110)</f>
        <v>#NAME?</v>
      </c>
      <c r="W14">
        <f t="shared" si="1005"/>
        <v>9</v>
      </c>
      <c r="X14" t="e">
        <f t="shared" si="1006"/>
        <v>#NAME?</v>
      </c>
      <c r="Y14" t="e">
        <f t="shared" si="1007"/>
        <v>#NAME?</v>
      </c>
      <c r="Z14" t="e">
        <f t="shared" si="1008"/>
        <v>#NAME?</v>
      </c>
      <c r="AA14" t="e">
        <f t="shared" si="994"/>
        <v>#NAME?</v>
      </c>
      <c r="AB14" t="e">
        <f t="shared" si="1009"/>
        <v>#NAME?</v>
      </c>
      <c r="AC14" t="e">
        <f t="shared" si="1010"/>
        <v>#NAME?</v>
      </c>
      <c r="AE14">
        <f t="shared" si="1015"/>
        <v>9</v>
      </c>
      <c r="AF14">
        <f t="shared" si="1004"/>
        <v>10.1464190291729</v>
      </c>
    </row>
    <row r="15">
      <c r="A15">
        <f t="shared" si="1011"/>
        <v>9</v>
      </c>
      <c r="B15">
        <v>1.2055841066323034</v>
      </c>
      <c r="C15">
        <f t="shared" si="1012"/>
        <v>10.1464190291729</v>
      </c>
      <c r="E15">
        <f t="shared" si="1013"/>
        <v>10</v>
      </c>
      <c r="F15" t="e">
        <f t="shared" si="1003"/>
        <v>#NAME?</v>
      </c>
      <c r="G15" t="e">
        <f t="shared" si="1014"/>
        <v>#NAME?</v>
      </c>
      <c r="J15" t="s">
        <v>502</v>
      </c>
      <c r="K15" s="10" t="e">
        <f>STDEV(G7:G110)</f>
        <v>#NAME?</v>
      </c>
      <c r="M15" s="24" t="s">
        <v>481</v>
      </c>
      <c r="N15" s="24" t="s">
        <v>501</v>
      </c>
      <c r="Q15" t="e">
        <v>#NAME?</v>
      </c>
      <c r="R15" s="7" t="e">
        <v>#NAME?</v>
      </c>
      <c r="W15">
        <f t="shared" si="1005"/>
        <v>10</v>
      </c>
      <c r="X15" t="e">
        <f t="shared" si="1006"/>
        <v>#NAME?</v>
      </c>
      <c r="Y15" t="e">
        <f t="shared" si="1007"/>
        <v>#NAME?</v>
      </c>
      <c r="Z15" t="e">
        <f t="shared" si="1008"/>
        <v>#NAME?</v>
      </c>
      <c r="AA15" t="e">
        <f t="shared" si="994"/>
        <v>#NAME?</v>
      </c>
      <c r="AB15" t="e">
        <f t="shared" si="1009"/>
        <v>#NAME?</v>
      </c>
      <c r="AC15" t="e">
        <f t="shared" si="1010"/>
        <v>#NAME?</v>
      </c>
      <c r="AE15">
        <f t="shared" si="1015"/>
        <v>10</v>
      </c>
      <c r="AF15">
        <f t="shared" si="1004"/>
        <v>11.045196349004099</v>
      </c>
    </row>
    <row r="16">
      <c r="A16">
        <f t="shared" si="1011"/>
        <v>10</v>
      </c>
      <c r="B16">
        <v>1.1838198499095891</v>
      </c>
      <c r="C16">
        <f t="shared" si="1012"/>
        <v>11.045196349004099</v>
      </c>
      <c r="E16">
        <f t="shared" si="1013"/>
        <v>11</v>
      </c>
      <c r="F16" t="e">
        <f t="shared" si="1003"/>
        <v>#NAME?</v>
      </c>
      <c r="G16" t="e">
        <f t="shared" si="1014"/>
        <v>#NAME?</v>
      </c>
      <c r="J16" t="s">
        <v>503</v>
      </c>
      <c r="K16" s="10" t="e">
        <f>SQRT(K9/K19)</f>
        <v>#NAME?</v>
      </c>
      <c r="M16" s="42">
        <v>0</v>
      </c>
      <c r="N16" s="42" t="e">
        <v>#NAME?</v>
      </c>
      <c r="Q16" t="e">
        <v>#NAME?</v>
      </c>
      <c r="R16" s="10" t="e">
        <v>#NAME?</v>
      </c>
      <c r="W16">
        <f t="shared" si="1005"/>
        <v>11</v>
      </c>
      <c r="X16" t="e">
        <f t="shared" si="1006"/>
        <v>#NAME?</v>
      </c>
      <c r="Y16" t="e">
        <f t="shared" si="1007"/>
        <v>#NAME?</v>
      </c>
      <c r="Z16" t="e">
        <f t="shared" si="1008"/>
        <v>#NAME?</v>
      </c>
      <c r="AA16" t="e">
        <f t="shared" si="994"/>
        <v>#NAME?</v>
      </c>
      <c r="AB16" t="e">
        <f t="shared" si="1009"/>
        <v>#NAME?</v>
      </c>
      <c r="AC16" t="e">
        <f t="shared" si="1010"/>
        <v>#NAME?</v>
      </c>
      <c r="AE16">
        <f t="shared" si="1015"/>
        <v>11</v>
      </c>
      <c r="AF16">
        <f t="shared" si="1004"/>
        <v>10.122578080183001</v>
      </c>
    </row>
    <row r="17">
      <c r="A17">
        <f t="shared" si="1011"/>
        <v>11</v>
      </c>
      <c r="B17">
        <v>-0.37229539413802176</v>
      </c>
      <c r="C17">
        <f t="shared" si="1012"/>
        <v>10.122578080183001</v>
      </c>
      <c r="E17">
        <f t="shared" si="1013"/>
        <v>12</v>
      </c>
      <c r="F17" t="e">
        <f t="shared" si="1003"/>
        <v>#NAME?</v>
      </c>
      <c r="G17" t="e">
        <f t="shared" si="1014"/>
        <v>#NAME?</v>
      </c>
      <c r="J17" t="s">
        <v>504</v>
      </c>
      <c r="K17" s="10" t="e">
        <f>AVERAGE(F7:F110)</f>
        <v>#NAME?</v>
      </c>
      <c r="M17">
        <f t="shared" ref="M17:M20" si="1016">M16+1</f>
        <v>1</v>
      </c>
      <c r="N17" t="e">
        <v>#NAME?</v>
      </c>
      <c r="Q17" t="e">
        <v>#NAME?</v>
      </c>
      <c r="R17" s="10" t="e">
        <v>#NAME?</v>
      </c>
      <c r="W17">
        <f t="shared" si="1005"/>
        <v>12</v>
      </c>
      <c r="X17" t="e">
        <f t="shared" si="1006"/>
        <v>#NAME?</v>
      </c>
      <c r="Y17" t="e">
        <f t="shared" si="1007"/>
        <v>#NAME?</v>
      </c>
      <c r="Z17" t="e">
        <f t="shared" si="1008"/>
        <v>#NAME?</v>
      </c>
      <c r="AA17" t="e">
        <f t="shared" si="994"/>
        <v>#NAME?</v>
      </c>
      <c r="AB17" t="e">
        <f t="shared" si="1009"/>
        <v>#NAME?</v>
      </c>
      <c r="AC17" t="e">
        <f t="shared" si="1010"/>
        <v>#NAME?</v>
      </c>
      <c r="AE17">
        <f t="shared" si="1015"/>
        <v>12</v>
      </c>
      <c r="AF17">
        <f t="shared" si="1004"/>
        <v>10.1736022444521</v>
      </c>
    </row>
    <row r="18">
      <c r="A18">
        <f t="shared" si="1011"/>
        <v>12</v>
      </c>
      <c r="B18">
        <v>1.3338509496353779e-02</v>
      </c>
      <c r="C18">
        <f t="shared" si="1012"/>
        <v>10.1736022444521</v>
      </c>
      <c r="E18">
        <f t="shared" si="1013"/>
        <v>13</v>
      </c>
      <c r="F18" t="e">
        <f t="shared" si="1003"/>
        <v>#NAME?</v>
      </c>
      <c r="G18" t="e">
        <f t="shared" si="1014"/>
        <v>#NAME?</v>
      </c>
      <c r="J18" t="s">
        <v>505</v>
      </c>
      <c r="K18" s="10" t="e">
        <f>STDEV(F7:F110)</f>
        <v>#NAME?</v>
      </c>
      <c r="M18">
        <f t="shared" si="1016"/>
        <v>2</v>
      </c>
      <c r="N18" t="e">
        <v>#NAME?</v>
      </c>
      <c r="Q18" t="e">
        <v>#NAME?</v>
      </c>
      <c r="R18" s="10" t="e">
        <v>#NAME?</v>
      </c>
      <c r="W18">
        <f t="shared" si="1005"/>
        <v>13</v>
      </c>
      <c r="X18" t="e">
        <f t="shared" si="1006"/>
        <v>#NAME?</v>
      </c>
      <c r="Y18" t="e">
        <f t="shared" si="1007"/>
        <v>#NAME?</v>
      </c>
      <c r="Z18" t="e">
        <f t="shared" si="1008"/>
        <v>#NAME?</v>
      </c>
      <c r="AA18" t="e">
        <f t="shared" si="994"/>
        <v>#NAME?</v>
      </c>
      <c r="AB18" t="e">
        <f t="shared" si="1009"/>
        <v>#NAME?</v>
      </c>
      <c r="AC18" t="e">
        <f t="shared" si="1010"/>
        <v>#NAME?</v>
      </c>
      <c r="AE18">
        <f t="shared" si="1015"/>
        <v>13</v>
      </c>
      <c r="AF18">
        <f t="shared" si="1004"/>
        <v>10.8213098008929</v>
      </c>
    </row>
    <row r="19">
      <c r="A19">
        <f t="shared" si="1011"/>
        <v>13</v>
      </c>
      <c r="B19">
        <v>0.70245593167564913</v>
      </c>
      <c r="C19">
        <f t="shared" si="1012"/>
        <v>10.8213098008929</v>
      </c>
      <c r="E19">
        <f t="shared" si="1013"/>
        <v>14</v>
      </c>
      <c r="F19" t="e">
        <f t="shared" si="1003"/>
        <v>#NAME?</v>
      </c>
      <c r="G19" t="e">
        <f t="shared" si="1014"/>
        <v>#NAME?</v>
      </c>
      <c r="J19" t="s">
        <v>506</v>
      </c>
      <c r="K19" s="13">
        <f>COUNT(F7:F110)</f>
        <v>0</v>
      </c>
      <c r="M19">
        <f t="shared" si="1016"/>
        <v>3</v>
      </c>
      <c r="N19" t="e">
        <v>#NAME?</v>
      </c>
      <c r="Q19" t="e">
        <v>#NAME?</v>
      </c>
      <c r="R19" s="10" t="e">
        <v>#NAME?</v>
      </c>
      <c r="W19">
        <f t="shared" si="1005"/>
        <v>14</v>
      </c>
      <c r="X19" t="e">
        <f t="shared" si="1006"/>
        <v>#NAME?</v>
      </c>
      <c r="Y19" t="e">
        <f t="shared" si="1007"/>
        <v>#NAME?</v>
      </c>
      <c r="Z19" t="e">
        <f t="shared" si="1008"/>
        <v>#NAME?</v>
      </c>
      <c r="AA19" t="e">
        <f t="shared" si="994"/>
        <v>#NAME?</v>
      </c>
      <c r="AB19" t="e">
        <f t="shared" si="1009"/>
        <v>#NAME?</v>
      </c>
      <c r="AC19" t="e">
        <f t="shared" si="1010"/>
        <v>#NAME?</v>
      </c>
      <c r="AE19">
        <f t="shared" si="1015"/>
        <v>14</v>
      </c>
      <c r="AF19">
        <f t="shared" si="1004"/>
        <v>10.084063249573999</v>
      </c>
    </row>
    <row r="20">
      <c r="A20">
        <f t="shared" si="1011"/>
        <v>14</v>
      </c>
      <c r="B20">
        <v>-0.35036242471588258</v>
      </c>
      <c r="C20">
        <f t="shared" si="1012"/>
        <v>10.084063249573999</v>
      </c>
      <c r="E20">
        <f t="shared" si="1013"/>
        <v>15</v>
      </c>
      <c r="F20" t="e">
        <f t="shared" si="1003"/>
        <v>#NAME?</v>
      </c>
      <c r="G20" t="e">
        <f t="shared" si="1014"/>
        <v>#NAME?</v>
      </c>
      <c r="M20" s="14">
        <f t="shared" si="1016"/>
        <v>4</v>
      </c>
      <c r="N20" s="14" t="e">
        <v>#NAME?</v>
      </c>
      <c r="Q20" t="e">
        <v>#NAME?</v>
      </c>
      <c r="R20" s="10" t="e">
        <v>#NAME?</v>
      </c>
      <c r="W20">
        <f t="shared" si="1005"/>
        <v>15</v>
      </c>
      <c r="X20" t="e">
        <f t="shared" si="1006"/>
        <v>#NAME?</v>
      </c>
      <c r="Y20" t="e">
        <f t="shared" si="1007"/>
        <v>#NAME?</v>
      </c>
      <c r="Z20" t="e">
        <f t="shared" si="1008"/>
        <v>#NAME?</v>
      </c>
      <c r="AA20" t="e">
        <f t="shared" si="994"/>
        <v>#NAME?</v>
      </c>
      <c r="AB20" t="e">
        <f t="shared" si="1009"/>
        <v>#NAME?</v>
      </c>
      <c r="AC20" t="e">
        <f t="shared" si="1010"/>
        <v>#NAME?</v>
      </c>
      <c r="AE20">
        <f t="shared" si="1015"/>
        <v>15</v>
      </c>
      <c r="AF20">
        <f t="shared" si="1004"/>
        <v>10.3460540555555</v>
      </c>
    </row>
    <row r="21">
      <c r="A21">
        <f t="shared" si="1011"/>
        <v>15</v>
      </c>
      <c r="B21">
        <v>0.21713729591053149</v>
      </c>
      <c r="C21">
        <f t="shared" si="1012"/>
        <v>10.3460540555555</v>
      </c>
      <c r="E21">
        <f t="shared" si="1013"/>
        <v>16</v>
      </c>
      <c r="F21" t="e">
        <f t="shared" si="1003"/>
        <v>#NAME?</v>
      </c>
      <c r="G21" t="e">
        <f t="shared" si="1014"/>
        <v>#NAME?</v>
      </c>
      <c r="J21" t="s">
        <v>507</v>
      </c>
      <c r="K21" s="7" t="e">
        <f>-(K24-2*(K11+K12+2))/2</f>
        <v>#NAME?</v>
      </c>
      <c r="Q21" t="e">
        <v>#NAME?</v>
      </c>
      <c r="R21" s="13" t="e">
        <v>#NAME?</v>
      </c>
      <c r="W21">
        <f t="shared" si="1005"/>
        <v>16</v>
      </c>
      <c r="X21" t="e">
        <f t="shared" si="1006"/>
        <v>#NAME?</v>
      </c>
      <c r="Y21" t="e">
        <f t="shared" si="1007"/>
        <v>#NAME?</v>
      </c>
      <c r="Z21" t="e">
        <f t="shared" si="1008"/>
        <v>#NAME?</v>
      </c>
      <c r="AA21" t="e">
        <f t="shared" si="994"/>
        <v>#NAME?</v>
      </c>
      <c r="AB21" t="e">
        <f t="shared" si="1009"/>
        <v>#NAME?</v>
      </c>
      <c r="AC21" t="e">
        <f t="shared" si="1010"/>
        <v>#NAME?</v>
      </c>
      <c r="AE21">
        <f t="shared" si="1015"/>
        <v>16</v>
      </c>
      <c r="AF21">
        <f t="shared" si="1004"/>
        <v>9.6922029393026694</v>
      </c>
    </row>
    <row r="22">
      <c r="A22">
        <f t="shared" si="1011"/>
        <v>16</v>
      </c>
      <c r="B22">
        <v>-0.50660744040413153</v>
      </c>
      <c r="C22">
        <f t="shared" si="1012"/>
        <v>9.6922029393026694</v>
      </c>
      <c r="E22">
        <f t="shared" si="1013"/>
        <v>17</v>
      </c>
      <c r="F22" t="e">
        <f t="shared" si="1003"/>
        <v>#NAME?</v>
      </c>
      <c r="G22" t="e">
        <f t="shared" si="1014"/>
        <v>#NAME?</v>
      </c>
      <c r="J22" t="s">
        <v>374</v>
      </c>
      <c r="K22" s="10" t="e">
        <f>K19*LN(K9/K19)+2*(K11+K12+2)</f>
        <v>#NAME?</v>
      </c>
      <c r="W22">
        <f t="shared" si="1005"/>
        <v>17</v>
      </c>
      <c r="X22" t="e">
        <f t="shared" si="1006"/>
        <v>#NAME?</v>
      </c>
      <c r="Y22" t="e">
        <f t="shared" si="1007"/>
        <v>#NAME?</v>
      </c>
      <c r="Z22" t="e">
        <f t="shared" si="1008"/>
        <v>#NAME?</v>
      </c>
      <c r="AA22" t="e">
        <f t="shared" si="994"/>
        <v>#NAME?</v>
      </c>
      <c r="AB22" t="e">
        <f t="shared" si="1009"/>
        <v>#NAME?</v>
      </c>
      <c r="AC22" t="e">
        <f t="shared" si="1010"/>
        <v>#NAME?</v>
      </c>
      <c r="AE22">
        <f t="shared" si="1015"/>
        <v>17</v>
      </c>
      <c r="AF22">
        <f t="shared" si="1004"/>
        <v>11.205574770625899</v>
      </c>
    </row>
    <row r="23">
      <c r="A23">
        <f t="shared" si="1011"/>
        <v>17</v>
      </c>
      <c r="B23">
        <v>1.3197112250332259</v>
      </c>
      <c r="C23">
        <f t="shared" si="1012"/>
        <v>11.205574770625899</v>
      </c>
      <c r="E23">
        <f t="shared" si="1013"/>
        <v>18</v>
      </c>
      <c r="F23" t="e">
        <f t="shared" si="1003"/>
        <v>#NAME?</v>
      </c>
      <c r="G23" t="e">
        <f t="shared" si="1014"/>
        <v>#NAME?</v>
      </c>
      <c r="J23" t="s">
        <v>508</v>
      </c>
      <c r="K23" s="10" t="e">
        <f>K19*LN(K9/K19)+LN(K19)*(K11+K12+2)</f>
        <v>#NAME?</v>
      </c>
      <c r="W23">
        <f t="shared" si="1005"/>
        <v>18</v>
      </c>
      <c r="X23" t="e">
        <f t="shared" si="1006"/>
        <v>#NAME?</v>
      </c>
      <c r="Y23" t="e">
        <f t="shared" si="1007"/>
        <v>#NAME?</v>
      </c>
      <c r="Z23" t="e">
        <f t="shared" si="1008"/>
        <v>#NAME?</v>
      </c>
      <c r="AA23" t="e">
        <f t="shared" si="994"/>
        <v>#NAME?</v>
      </c>
      <c r="AB23" t="e">
        <f t="shared" si="1009"/>
        <v>#NAME?</v>
      </c>
      <c r="AC23" t="e">
        <f t="shared" si="1010"/>
        <v>#NAME?</v>
      </c>
      <c r="AE23">
        <f t="shared" si="1015"/>
        <v>18</v>
      </c>
      <c r="AF23">
        <f t="shared" si="1004"/>
        <v>12.6521164165149</v>
      </c>
    </row>
    <row r="24">
      <c r="A24">
        <f t="shared" si="1011"/>
        <v>18</v>
      </c>
      <c r="B24">
        <v>2.0721563220833827</v>
      </c>
      <c r="C24">
        <f t="shared" si="1012"/>
        <v>12.6521164165149</v>
      </c>
      <c r="E24">
        <f t="shared" si="1013"/>
        <v>19</v>
      </c>
      <c r="F24" t="e">
        <f t="shared" si="1003"/>
        <v>#NAME?</v>
      </c>
      <c r="G24" t="e">
        <f t="shared" si="1014"/>
        <v>#NAME?</v>
      </c>
      <c r="J24" t="s">
        <v>509</v>
      </c>
      <c r="K24" s="10" t="e">
        <f>K19*(1+LN(2*PI()))+K22</f>
        <v>#NAME?</v>
      </c>
      <c r="W24">
        <f t="shared" si="1005"/>
        <v>19</v>
      </c>
      <c r="X24" t="e">
        <f t="shared" si="1006"/>
        <v>#NAME?</v>
      </c>
      <c r="Y24" t="e">
        <f t="shared" si="1007"/>
        <v>#NAME?</v>
      </c>
      <c r="Z24" t="e">
        <f t="shared" si="1008"/>
        <v>#NAME?</v>
      </c>
      <c r="AA24" t="e">
        <f t="shared" si="994"/>
        <v>#NAME?</v>
      </c>
      <c r="AB24" t="e">
        <f t="shared" si="1009"/>
        <v>#NAME?</v>
      </c>
      <c r="AC24" t="e">
        <f t="shared" si="1010"/>
        <v>#NAME?</v>
      </c>
      <c r="AE24">
        <f t="shared" si="1015"/>
        <v>19</v>
      </c>
      <c r="AF24">
        <f t="shared" si="1004"/>
        <v>13.4063291686354</v>
      </c>
    </row>
    <row r="25">
      <c r="A25">
        <f t="shared" si="1011"/>
        <v>19</v>
      </c>
      <c r="B25">
        <v>1.9642789414916848</v>
      </c>
      <c r="C25">
        <f t="shared" si="1012"/>
        <v>13.4063291686354</v>
      </c>
      <c r="E25">
        <f t="shared" si="1013"/>
        <v>20</v>
      </c>
      <c r="F25" t="e">
        <f t="shared" si="1003"/>
        <v>#NAME?</v>
      </c>
      <c r="G25" t="e">
        <f t="shared" si="1014"/>
        <v>#NAME?</v>
      </c>
      <c r="J25" t="s">
        <v>510</v>
      </c>
      <c r="K25" s="13" t="e">
        <f>K19*(1+LN(2*PI()))+K23</f>
        <v>#NAME?</v>
      </c>
      <c r="W25">
        <f t="shared" si="1005"/>
        <v>20</v>
      </c>
      <c r="X25" t="e">
        <f t="shared" si="1006"/>
        <v>#NAME?</v>
      </c>
      <c r="Y25" t="e">
        <f t="shared" si="1007"/>
        <v>#NAME?</v>
      </c>
      <c r="Z25" t="e">
        <f t="shared" si="1008"/>
        <v>#NAME?</v>
      </c>
      <c r="AA25" t="e">
        <f t="shared" si="994"/>
        <v>#NAME?</v>
      </c>
      <c r="AB25" t="e">
        <f t="shared" si="1009"/>
        <v>#NAME?</v>
      </c>
      <c r="AC25" t="e">
        <f t="shared" si="1010"/>
        <v>#NAME?</v>
      </c>
      <c r="AE25">
        <f t="shared" si="1015"/>
        <v>20</v>
      </c>
      <c r="AF25">
        <f t="shared" si="1004"/>
        <v>12.231217930184</v>
      </c>
    </row>
    <row r="26">
      <c r="A26">
        <f t="shared" si="1011"/>
        <v>20</v>
      </c>
      <c r="B26">
        <v>0.23964330043753548</v>
      </c>
      <c r="C26">
        <f t="shared" si="1012"/>
        <v>12.231217930184</v>
      </c>
      <c r="E26">
        <f t="shared" si="1013"/>
        <v>21</v>
      </c>
      <c r="F26" t="e">
        <f t="shared" si="1003"/>
        <v>#NAME?</v>
      </c>
      <c r="G26" t="e">
        <f t="shared" si="1014"/>
        <v>#NAME?</v>
      </c>
      <c r="W26">
        <f t="shared" si="1005"/>
        <v>21</v>
      </c>
      <c r="X26" t="e">
        <f t="shared" si="1006"/>
        <v>#NAME?</v>
      </c>
      <c r="Y26" t="e">
        <f t="shared" si="1007"/>
        <v>#NAME?</v>
      </c>
      <c r="Z26" t="e">
        <f t="shared" si="1008"/>
        <v>#NAME?</v>
      </c>
      <c r="AA26" t="e">
        <f t="shared" si="994"/>
        <v>#NAME?</v>
      </c>
      <c r="AB26" t="e">
        <f t="shared" si="1009"/>
        <v>#NAME?</v>
      </c>
      <c r="AC26" t="e">
        <f t="shared" si="1010"/>
        <v>#NAME?</v>
      </c>
      <c r="AE26">
        <f t="shared" si="1015"/>
        <v>21</v>
      </c>
      <c r="AF26">
        <f t="shared" si="1004"/>
        <v>12.1169744559593</v>
      </c>
    </row>
    <row r="27">
      <c r="A27">
        <f t="shared" si="1011"/>
        <v>21</v>
      </c>
      <c r="B27">
        <v>0.60305056491796249</v>
      </c>
      <c r="C27">
        <f t="shared" si="1012"/>
        <v>12.1169744559593</v>
      </c>
      <c r="E27">
        <f t="shared" si="1013"/>
        <v>22</v>
      </c>
      <c r="F27" t="e">
        <f t="shared" si="1003"/>
        <v>#NAME?</v>
      </c>
      <c r="G27" t="e">
        <f t="shared" si="1014"/>
        <v>#NAME?</v>
      </c>
      <c r="W27">
        <f t="shared" si="1005"/>
        <v>22</v>
      </c>
      <c r="X27" t="e">
        <f t="shared" si="1006"/>
        <v>#NAME?</v>
      </c>
      <c r="Y27" t="e">
        <f t="shared" si="1007"/>
        <v>#NAME?</v>
      </c>
      <c r="Z27" t="e">
        <f t="shared" si="1008"/>
        <v>#NAME?</v>
      </c>
      <c r="AA27" t="e">
        <f t="shared" si="994"/>
        <v>#NAME?</v>
      </c>
      <c r="AB27" t="e">
        <f t="shared" si="1009"/>
        <v>#NAME?</v>
      </c>
      <c r="AC27" t="e">
        <f t="shared" si="1010"/>
        <v>#NAME?</v>
      </c>
      <c r="AE27">
        <f t="shared" si="1015"/>
        <v>22</v>
      </c>
      <c r="AF27">
        <f t="shared" si="1004"/>
        <v>10.459888894360899</v>
      </c>
    </row>
    <row r="28">
      <c r="A28">
        <f t="shared" si="1011"/>
        <v>22</v>
      </c>
      <c r="B28">
        <v>-0.90138311182696318</v>
      </c>
      <c r="C28">
        <f t="shared" si="1012"/>
        <v>10.459888894360899</v>
      </c>
      <c r="E28">
        <f t="shared" si="1013"/>
        <v>23</v>
      </c>
      <c r="F28" t="e">
        <f t="shared" si="1003"/>
        <v>#NAME?</v>
      </c>
      <c r="G28" t="e">
        <f t="shared" si="1014"/>
        <v>#NAME?</v>
      </c>
      <c r="W28">
        <f t="shared" si="1005"/>
        <v>23</v>
      </c>
      <c r="X28" t="e">
        <f t="shared" si="1006"/>
        <v>#NAME?</v>
      </c>
      <c r="Y28" t="e">
        <f t="shared" si="1007"/>
        <v>#NAME?</v>
      </c>
      <c r="Z28" t="e">
        <f t="shared" si="1008"/>
        <v>#NAME?</v>
      </c>
      <c r="AA28" t="e">
        <f t="shared" si="994"/>
        <v>#NAME?</v>
      </c>
      <c r="AB28" t="e">
        <f t="shared" si="1009"/>
        <v>#NAME?</v>
      </c>
      <c r="AC28" t="e">
        <f t="shared" si="1010"/>
        <v>#NAME?</v>
      </c>
      <c r="AE28">
        <f t="shared" si="1015"/>
        <v>23</v>
      </c>
      <c r="AF28">
        <f t="shared" si="1004"/>
        <v>9.4464576710811894</v>
      </c>
    </row>
    <row r="29">
      <c r="A29">
        <f t="shared" si="1011"/>
        <v>23</v>
      </c>
      <c r="B29">
        <v>-1.0557411773368033</v>
      </c>
      <c r="C29">
        <f t="shared" si="1012"/>
        <v>9.4464576710811894</v>
      </c>
      <c r="E29">
        <f t="shared" si="1013"/>
        <v>24</v>
      </c>
      <c r="F29" t="e">
        <f t="shared" si="1003"/>
        <v>#NAME?</v>
      </c>
      <c r="G29" t="e">
        <f t="shared" si="1014"/>
        <v>#NAME?</v>
      </c>
      <c r="W29">
        <f t="shared" si="1005"/>
        <v>24</v>
      </c>
      <c r="X29" t="e">
        <f t="shared" si="1006"/>
        <v>#NAME?</v>
      </c>
      <c r="Y29" t="e">
        <f t="shared" si="1007"/>
        <v>#NAME?</v>
      </c>
      <c r="Z29" t="e">
        <f t="shared" si="1008"/>
        <v>#NAME?</v>
      </c>
      <c r="AA29" t="e">
        <f t="shared" si="994"/>
        <v>#NAME?</v>
      </c>
      <c r="AB29" t="e">
        <f t="shared" si="1009"/>
        <v>#NAME?</v>
      </c>
      <c r="AC29" t="e">
        <f t="shared" si="1010"/>
        <v>#NAME?</v>
      </c>
      <c r="AE29">
        <f t="shared" si="1015"/>
        <v>24</v>
      </c>
      <c r="AF29">
        <f t="shared" si="1004"/>
        <v>11.1810304347943</v>
      </c>
    </row>
    <row r="30">
      <c r="A30">
        <f t="shared" si="1011"/>
        <v>24</v>
      </c>
      <c r="B30">
        <v>1.3573618295701022</v>
      </c>
      <c r="C30">
        <f t="shared" si="1012"/>
        <v>11.1810304347943</v>
      </c>
      <c r="E30">
        <f t="shared" si="1013"/>
        <v>25</v>
      </c>
      <c r="F30" t="e">
        <f t="shared" si="1003"/>
        <v>#NAME?</v>
      </c>
      <c r="G30" t="e">
        <f t="shared" si="1014"/>
        <v>#NAME?</v>
      </c>
      <c r="W30">
        <f t="shared" si="1005"/>
        <v>25</v>
      </c>
      <c r="X30" t="e">
        <f t="shared" si="1006"/>
        <v>#NAME?</v>
      </c>
      <c r="Y30" t="e">
        <f t="shared" si="1007"/>
        <v>#NAME?</v>
      </c>
      <c r="Z30" t="e">
        <f t="shared" si="1008"/>
        <v>#NAME?</v>
      </c>
      <c r="AA30" t="e">
        <f t="shared" si="994"/>
        <v>#NAME?</v>
      </c>
      <c r="AB30" t="e">
        <f t="shared" si="1009"/>
        <v>#NAME?</v>
      </c>
      <c r="AC30" t="e">
        <f t="shared" si="1010"/>
        <v>#NAME?</v>
      </c>
      <c r="AE30">
        <f t="shared" si="1015"/>
        <v>25</v>
      </c>
      <c r="AF30">
        <f t="shared" si="1004"/>
        <v>7.5853602163456504</v>
      </c>
    </row>
    <row r="31">
      <c r="A31">
        <f t="shared" si="1011"/>
        <v>25</v>
      </c>
      <c r="B31">
        <v>-2.969888722096329</v>
      </c>
      <c r="C31">
        <f t="shared" si="1012"/>
        <v>7.5853602163456504</v>
      </c>
      <c r="E31">
        <f t="shared" si="1013"/>
        <v>26</v>
      </c>
      <c r="F31" t="e">
        <f t="shared" si="1003"/>
        <v>#NAME?</v>
      </c>
      <c r="G31" t="e">
        <f t="shared" si="1014"/>
        <v>#NAME?</v>
      </c>
      <c r="W31">
        <f t="shared" si="1005"/>
        <v>26</v>
      </c>
      <c r="X31" t="e">
        <f t="shared" si="1006"/>
        <v>#NAME?</v>
      </c>
      <c r="Y31" t="e">
        <f t="shared" si="1007"/>
        <v>#NAME?</v>
      </c>
      <c r="Z31" t="e">
        <f t="shared" si="1008"/>
        <v>#NAME?</v>
      </c>
      <c r="AA31" t="e">
        <f t="shared" si="994"/>
        <v>#NAME?</v>
      </c>
      <c r="AB31" t="e">
        <f t="shared" si="1009"/>
        <v>#NAME?</v>
      </c>
      <c r="AC31" t="e">
        <f t="shared" si="1010"/>
        <v>#NAME?</v>
      </c>
      <c r="AE31">
        <f t="shared" si="1015"/>
        <v>26</v>
      </c>
      <c r="AF31">
        <f t="shared" si="1004"/>
        <v>10.9785318614117</v>
      </c>
    </row>
    <row r="32">
      <c r="A32">
        <f t="shared" si="1011"/>
        <v>26</v>
      </c>
      <c r="B32">
        <v>2.0748019655504284</v>
      </c>
      <c r="C32">
        <f t="shared" si="1012"/>
        <v>10.9785318614117</v>
      </c>
      <c r="E32">
        <f t="shared" si="1013"/>
        <v>27</v>
      </c>
      <c r="F32" t="e">
        <f t="shared" si="1003"/>
        <v>#NAME?</v>
      </c>
      <c r="G32" t="e">
        <f t="shared" si="1014"/>
        <v>#NAME?</v>
      </c>
      <c r="W32">
        <f t="shared" si="1005"/>
        <v>27</v>
      </c>
      <c r="X32" t="e">
        <f t="shared" si="1006"/>
        <v>#NAME?</v>
      </c>
      <c r="Y32" t="e">
        <f t="shared" si="1007"/>
        <v>#NAME?</v>
      </c>
      <c r="Z32" t="e">
        <f t="shared" si="1008"/>
        <v>#NAME?</v>
      </c>
      <c r="AA32" t="e">
        <f t="shared" si="994"/>
        <v>#NAME?</v>
      </c>
      <c r="AB32" t="e">
        <f t="shared" si="1009"/>
        <v>#NAME?</v>
      </c>
      <c r="AC32" t="e">
        <f t="shared" si="1010"/>
        <v>#NAME?</v>
      </c>
      <c r="AE32">
        <f t="shared" si="1015"/>
        <v>27</v>
      </c>
      <c r="AF32">
        <f t="shared" si="1004"/>
        <v>10.5502252086258</v>
      </c>
    </row>
    <row r="33">
      <c r="A33">
        <f t="shared" si="1011"/>
        <v>27</v>
      </c>
      <c r="B33">
        <v>0.28021329874765349</v>
      </c>
      <c r="C33">
        <f t="shared" si="1012"/>
        <v>10.5502252086258</v>
      </c>
      <c r="E33">
        <f t="shared" si="1013"/>
        <v>28</v>
      </c>
      <c r="F33" t="e">
        <f t="shared" si="1003"/>
        <v>#NAME?</v>
      </c>
      <c r="G33" t="e">
        <f t="shared" si="1014"/>
        <v>#NAME?</v>
      </c>
      <c r="W33">
        <f t="shared" si="1005"/>
        <v>28</v>
      </c>
      <c r="X33" t="e">
        <f t="shared" si="1006"/>
        <v>#NAME?</v>
      </c>
      <c r="Y33" t="e">
        <f t="shared" si="1007"/>
        <v>#NAME?</v>
      </c>
      <c r="Z33" t="e">
        <f t="shared" si="1008"/>
        <v>#NAME?</v>
      </c>
      <c r="AA33" t="e">
        <f t="shared" si="994"/>
        <v>#NAME?</v>
      </c>
      <c r="AB33" t="e">
        <f t="shared" si="1009"/>
        <v>#NAME?</v>
      </c>
      <c r="AC33" t="e">
        <f t="shared" si="1010"/>
        <v>#NAME?</v>
      </c>
      <c r="AE33">
        <f t="shared" si="1015"/>
        <v>28</v>
      </c>
      <c r="AF33">
        <f t="shared" si="1004"/>
        <v>11.2274614310451</v>
      </c>
    </row>
    <row r="34">
      <c r="A34">
        <f t="shared" si="1011"/>
        <v>28</v>
      </c>
      <c r="B34">
        <v>0.89834644475651204</v>
      </c>
      <c r="C34">
        <f t="shared" si="1012"/>
        <v>11.2274614310451</v>
      </c>
      <c r="E34">
        <f t="shared" si="1013"/>
        <v>29</v>
      </c>
      <c r="F34" t="e">
        <f t="shared" si="1003"/>
        <v>#NAME?</v>
      </c>
      <c r="G34" t="e">
        <f t="shared" si="1014"/>
        <v>#NAME?</v>
      </c>
      <c r="W34">
        <f t="shared" si="1005"/>
        <v>29</v>
      </c>
      <c r="X34" t="e">
        <f t="shared" si="1006"/>
        <v>#NAME?</v>
      </c>
      <c r="Y34" t="e">
        <f t="shared" si="1007"/>
        <v>#NAME?</v>
      </c>
      <c r="Z34" t="e">
        <f t="shared" si="1008"/>
        <v>#NAME?</v>
      </c>
      <c r="AA34" t="e">
        <f t="shared" si="994"/>
        <v>#NAME?</v>
      </c>
      <c r="AB34" t="e">
        <f t="shared" si="1009"/>
        <v>#NAME?</v>
      </c>
      <c r="AC34" t="e">
        <f t="shared" si="1010"/>
        <v>#NAME?</v>
      </c>
      <c r="AE34">
        <f t="shared" si="1015"/>
        <v>29</v>
      </c>
      <c r="AF34">
        <f t="shared" si="1004"/>
        <v>9.0761713255317904</v>
      </c>
    </row>
    <row r="35">
      <c r="A35">
        <f t="shared" si="1011"/>
        <v>29</v>
      </c>
      <c r="B35">
        <v>-1.603382387248506</v>
      </c>
      <c r="C35">
        <f t="shared" si="1012"/>
        <v>9.0761713255317904</v>
      </c>
      <c r="E35">
        <f t="shared" si="1013"/>
        <v>30</v>
      </c>
      <c r="F35" t="e">
        <f t="shared" si="1003"/>
        <v>#NAME?</v>
      </c>
      <c r="G35" t="e">
        <f t="shared" si="1014"/>
        <v>#NAME?</v>
      </c>
      <c r="W35">
        <f t="shared" si="1005"/>
        <v>30</v>
      </c>
      <c r="X35" t="e">
        <f t="shared" si="1006"/>
        <v>#NAME?</v>
      </c>
      <c r="Y35" t="e">
        <f t="shared" si="1007"/>
        <v>#NAME?</v>
      </c>
      <c r="Z35" t="e">
        <f t="shared" si="1008"/>
        <v>#NAME?</v>
      </c>
      <c r="AA35" t="e">
        <f t="shared" si="994"/>
        <v>#NAME?</v>
      </c>
      <c r="AB35" t="e">
        <f t="shared" si="1009"/>
        <v>#NAME?</v>
      </c>
      <c r="AC35" t="e">
        <f t="shared" si="1010"/>
        <v>#NAME?</v>
      </c>
      <c r="AE35">
        <f t="shared" si="1015"/>
        <v>30</v>
      </c>
      <c r="AF35">
        <f t="shared" si="1004"/>
        <v>9.9094956509086103</v>
      </c>
    </row>
    <row r="36">
      <c r="A36">
        <f t="shared" si="1011"/>
        <v>30</v>
      </c>
      <c r="B36">
        <v>0.23549924558665486</v>
      </c>
      <c r="C36">
        <f t="shared" si="1012"/>
        <v>9.9094956509086103</v>
      </c>
      <c r="E36">
        <f t="shared" si="1013"/>
        <v>31</v>
      </c>
      <c r="F36" t="e">
        <f t="shared" si="1003"/>
        <v>#NAME?</v>
      </c>
      <c r="G36" t="e">
        <f t="shared" si="1014"/>
        <v>#NAME?</v>
      </c>
      <c r="W36">
        <f t="shared" si="1005"/>
        <v>31</v>
      </c>
      <c r="X36" t="e">
        <f t="shared" si="1006"/>
        <v>#NAME?</v>
      </c>
      <c r="Y36" t="e">
        <f t="shared" si="1007"/>
        <v>#NAME?</v>
      </c>
      <c r="Z36" t="e">
        <f t="shared" si="1008"/>
        <v>#NAME?</v>
      </c>
      <c r="AA36" t="e">
        <f t="shared" si="994"/>
        <v>#NAME?</v>
      </c>
      <c r="AB36" t="e">
        <f t="shared" si="1009"/>
        <v>#NAME?</v>
      </c>
      <c r="AC36" t="e">
        <f t="shared" si="1010"/>
        <v>#NAME?</v>
      </c>
      <c r="AE36">
        <f t="shared" si="1015"/>
        <v>31</v>
      </c>
      <c r="AF36">
        <f t="shared" si="1004"/>
        <v>11.683635570981201</v>
      </c>
    </row>
    <row r="37">
      <c r="A37">
        <f t="shared" si="1011"/>
        <v>31</v>
      </c>
      <c r="B37">
        <v>1.7940884644624944</v>
      </c>
      <c r="C37">
        <f t="shared" si="1012"/>
        <v>11.683635570981201</v>
      </c>
      <c r="E37">
        <f t="shared" si="1013"/>
        <v>32</v>
      </c>
      <c r="F37" t="e">
        <f t="shared" si="1003"/>
        <v>#NAME?</v>
      </c>
      <c r="G37" t="e">
        <f t="shared" si="1014"/>
        <v>#NAME?</v>
      </c>
      <c r="W37">
        <f t="shared" si="1005"/>
        <v>32</v>
      </c>
      <c r="X37" t="e">
        <f t="shared" si="1006"/>
        <v>#NAME?</v>
      </c>
      <c r="Y37" t="e">
        <f t="shared" si="1007"/>
        <v>#NAME?</v>
      </c>
      <c r="Z37" t="e">
        <f t="shared" si="1008"/>
        <v>#NAME?</v>
      </c>
      <c r="AA37" t="e">
        <f t="shared" si="994"/>
        <v>#NAME?</v>
      </c>
      <c r="AB37" t="e">
        <f t="shared" si="1009"/>
        <v>#NAME?</v>
      </c>
      <c r="AC37" t="e">
        <f t="shared" si="1010"/>
        <v>#NAME?</v>
      </c>
      <c r="AE37">
        <f t="shared" si="1015"/>
        <v>32</v>
      </c>
      <c r="AF37">
        <f t="shared" si="1004"/>
        <v>9.3891181090456595</v>
      </c>
    </row>
    <row r="38">
      <c r="A38">
        <f t="shared" si="1011"/>
        <v>32</v>
      </c>
      <c r="B38">
        <v>-1.4306090977486423</v>
      </c>
      <c r="C38">
        <f t="shared" si="1012"/>
        <v>9.3891181090456595</v>
      </c>
      <c r="E38">
        <f t="shared" si="1013"/>
        <v>33</v>
      </c>
      <c r="F38" t="e">
        <f t="shared" si="1003"/>
        <v>#NAME?</v>
      </c>
      <c r="G38" t="e">
        <f t="shared" si="1014"/>
        <v>#NAME?</v>
      </c>
      <c r="W38">
        <f t="shared" si="1005"/>
        <v>33</v>
      </c>
      <c r="X38" t="e">
        <f t="shared" si="1006"/>
        <v>#NAME?</v>
      </c>
      <c r="Y38" t="e">
        <f t="shared" si="1007"/>
        <v>#NAME?</v>
      </c>
      <c r="Z38" t="e">
        <f t="shared" si="1008"/>
        <v>#NAME?</v>
      </c>
      <c r="AA38" t="e">
        <f t="shared" si="994"/>
        <v>#NAME?</v>
      </c>
      <c r="AB38" t="e">
        <f t="shared" si="1009"/>
        <v>#NAME?</v>
      </c>
      <c r="AC38" t="e">
        <f t="shared" si="1010"/>
        <v>#NAME?</v>
      </c>
      <c r="AE38">
        <f t="shared" si="1015"/>
        <v>33</v>
      </c>
      <c r="AF38">
        <f t="shared" si="1004"/>
        <v>11.280967352963501</v>
      </c>
    </row>
    <row r="39">
      <c r="A39">
        <f t="shared" si="1011"/>
        <v>33</v>
      </c>
      <c r="B39">
        <v>1.4224628570818738</v>
      </c>
      <c r="C39">
        <f t="shared" si="1012"/>
        <v>11.280967352963501</v>
      </c>
      <c r="E39">
        <f t="shared" si="1013"/>
        <v>34</v>
      </c>
      <c r="F39" t="e">
        <f t="shared" si="1003"/>
        <v>#NAME?</v>
      </c>
      <c r="G39" t="e">
        <f t="shared" si="1014"/>
        <v>#NAME?</v>
      </c>
      <c r="W39">
        <f t="shared" si="1005"/>
        <v>34</v>
      </c>
      <c r="X39" t="e">
        <f t="shared" si="1006"/>
        <v>#NAME?</v>
      </c>
      <c r="Y39" t="e">
        <f t="shared" si="1007"/>
        <v>#NAME?</v>
      </c>
      <c r="Z39" t="e">
        <f t="shared" si="1008"/>
        <v>#NAME?</v>
      </c>
      <c r="AA39" t="e">
        <f t="shared" si="994"/>
        <v>#NAME?</v>
      </c>
      <c r="AB39" t="e">
        <f t="shared" si="1009"/>
        <v>#NAME?</v>
      </c>
      <c r="AC39" t="e">
        <f t="shared" si="1010"/>
        <v>#NAME?</v>
      </c>
      <c r="AE39">
        <f t="shared" si="1015"/>
        <v>34</v>
      </c>
      <c r="AF39">
        <f t="shared" si="1004"/>
        <v>9.0777000543373791</v>
      </c>
    </row>
    <row r="40">
      <c r="A40">
        <f t="shared" si="1011"/>
        <v>34</v>
      </c>
      <c r="B40">
        <v>-1.5344845213207501</v>
      </c>
      <c r="C40">
        <f t="shared" si="1012"/>
        <v>9.0777000543373791</v>
      </c>
      <c r="E40">
        <f t="shared" si="1013"/>
        <v>35</v>
      </c>
      <c r="F40" t="e">
        <f t="shared" si="1003"/>
        <v>#NAME?</v>
      </c>
      <c r="G40" t="e">
        <f t="shared" si="1014"/>
        <v>#NAME?</v>
      </c>
      <c r="W40">
        <f t="shared" si="1005"/>
        <v>35</v>
      </c>
      <c r="X40" t="e">
        <f t="shared" si="1006"/>
        <v>#NAME?</v>
      </c>
      <c r="Y40" t="e">
        <f t="shared" si="1007"/>
        <v>#NAME?</v>
      </c>
      <c r="Z40" t="e">
        <f t="shared" si="1008"/>
        <v>#NAME?</v>
      </c>
      <c r="AA40" t="e">
        <f t="shared" si="994"/>
        <v>#NAME?</v>
      </c>
      <c r="AB40" t="e">
        <f t="shared" si="1009"/>
        <v>#NAME?</v>
      </c>
      <c r="AC40" t="e">
        <f t="shared" si="1010"/>
        <v>#NAME?</v>
      </c>
      <c r="AE40">
        <f t="shared" si="1015"/>
        <v>35</v>
      </c>
      <c r="AF40">
        <f t="shared" si="1004"/>
        <v>9.4218520797102006</v>
      </c>
    </row>
    <row r="41">
      <c r="A41">
        <f t="shared" si="1011"/>
        <v>35</v>
      </c>
      <c r="B41">
        <v>-0.23943486259011687</v>
      </c>
      <c r="C41">
        <f t="shared" si="1012"/>
        <v>9.4218520797102006</v>
      </c>
      <c r="E41">
        <f t="shared" si="1013"/>
        <v>36</v>
      </c>
      <c r="F41" t="e">
        <f t="shared" si="1003"/>
        <v>#NAME?</v>
      </c>
      <c r="G41" t="e">
        <f t="shared" si="1014"/>
        <v>#NAME?</v>
      </c>
      <c r="W41">
        <f t="shared" si="1005"/>
        <v>36</v>
      </c>
      <c r="X41" t="e">
        <f t="shared" si="1006"/>
        <v>#NAME?</v>
      </c>
      <c r="Y41" t="e">
        <f t="shared" si="1007"/>
        <v>#NAME?</v>
      </c>
      <c r="Z41" t="e">
        <f t="shared" si="1008"/>
        <v>#NAME?</v>
      </c>
      <c r="AA41" t="e">
        <f t="shared" si="994"/>
        <v>#NAME?</v>
      </c>
      <c r="AB41" t="e">
        <f t="shared" si="1009"/>
        <v>#NAME?</v>
      </c>
      <c r="AC41" t="e">
        <f t="shared" si="1010"/>
        <v>#NAME?</v>
      </c>
      <c r="AE41">
        <f t="shared" si="1015"/>
        <v>36</v>
      </c>
      <c r="AF41">
        <f t="shared" si="1004"/>
        <v>10.768670766726199</v>
      </c>
    </row>
    <row r="42">
      <c r="A42">
        <f t="shared" si="1011"/>
        <v>36</v>
      </c>
      <c r="B42">
        <v>1.1254873384110666</v>
      </c>
      <c r="C42">
        <f t="shared" si="1012"/>
        <v>10.768670766726199</v>
      </c>
      <c r="E42">
        <f t="shared" si="1013"/>
        <v>37</v>
      </c>
      <c r="F42" t="e">
        <f t="shared" si="1003"/>
        <v>#NAME?</v>
      </c>
      <c r="G42" t="e">
        <f t="shared" si="1014"/>
        <v>#NAME?</v>
      </c>
      <c r="W42">
        <f t="shared" si="1005"/>
        <v>37</v>
      </c>
      <c r="X42" t="e">
        <f t="shared" si="1006"/>
        <v>#NAME?</v>
      </c>
      <c r="Y42" t="e">
        <f t="shared" si="1007"/>
        <v>#NAME?</v>
      </c>
      <c r="Z42" t="e">
        <f t="shared" si="1008"/>
        <v>#NAME?</v>
      </c>
      <c r="AA42" t="e">
        <f t="shared" si="994"/>
        <v>#NAME?</v>
      </c>
      <c r="AB42" t="e">
        <f t="shared" si="1009"/>
        <v>#NAME?</v>
      </c>
      <c r="AC42" t="e">
        <f t="shared" si="1010"/>
        <v>#NAME?</v>
      </c>
      <c r="AE42">
        <f t="shared" si="1015"/>
        <v>37</v>
      </c>
      <c r="AF42">
        <f t="shared" si="1004"/>
        <v>10.044686426220601</v>
      </c>
    </row>
    <row r="43">
      <c r="A43">
        <f t="shared" si="1011"/>
        <v>37</v>
      </c>
      <c r="B43">
        <v>-0.26828564280553119</v>
      </c>
      <c r="C43">
        <f t="shared" si="1012"/>
        <v>10.044686426220601</v>
      </c>
      <c r="E43">
        <f t="shared" si="1013"/>
        <v>38</v>
      </c>
      <c r="F43" t="e">
        <f t="shared" si="1003"/>
        <v>#NAME?</v>
      </c>
      <c r="G43" t="e">
        <f t="shared" si="1014"/>
        <v>#NAME?</v>
      </c>
      <c r="W43">
        <f t="shared" si="1005"/>
        <v>38</v>
      </c>
      <c r="X43" t="e">
        <f t="shared" si="1006"/>
        <v>#NAME?</v>
      </c>
      <c r="Y43" t="e">
        <f t="shared" si="1007"/>
        <v>#NAME?</v>
      </c>
      <c r="Z43" t="e">
        <f t="shared" si="1008"/>
        <v>#NAME?</v>
      </c>
      <c r="AA43" t="e">
        <f t="shared" si="994"/>
        <v>#NAME?</v>
      </c>
      <c r="AB43" t="e">
        <f t="shared" si="1009"/>
        <v>#NAME?</v>
      </c>
      <c r="AC43" t="e">
        <f t="shared" si="1010"/>
        <v>#NAME?</v>
      </c>
      <c r="AE43">
        <f t="shared" si="1015"/>
        <v>38</v>
      </c>
      <c r="AF43">
        <f t="shared" si="1004"/>
        <v>9.5026475408720703</v>
      </c>
    </row>
    <row r="44">
      <c r="A44">
        <f t="shared" si="1011"/>
        <v>38</v>
      </c>
      <c r="B44">
        <v>-0.5822900860434399</v>
      </c>
      <c r="C44">
        <f t="shared" si="1012"/>
        <v>9.5026475408720703</v>
      </c>
      <c r="E44">
        <f t="shared" si="1013"/>
        <v>39</v>
      </c>
      <c r="F44" t="e">
        <f t="shared" si="1003"/>
        <v>#NAME?</v>
      </c>
      <c r="G44" t="e">
        <f t="shared" si="1014"/>
        <v>#NAME?</v>
      </c>
      <c r="W44">
        <f t="shared" si="1005"/>
        <v>39</v>
      </c>
      <c r="X44" t="e">
        <f t="shared" si="1006"/>
        <v>#NAME?</v>
      </c>
      <c r="Y44" t="e">
        <f t="shared" si="1007"/>
        <v>#NAME?</v>
      </c>
      <c r="Z44" t="e">
        <f t="shared" si="1008"/>
        <v>#NAME?</v>
      </c>
      <c r="AA44" t="e">
        <f t="shared" si="994"/>
        <v>#NAME?</v>
      </c>
      <c r="AB44" t="e">
        <f t="shared" si="1009"/>
        <v>#NAME?</v>
      </c>
      <c r="AC44" t="e">
        <f t="shared" si="1010"/>
        <v>#NAME?</v>
      </c>
      <c r="AE44">
        <f t="shared" si="1015"/>
        <v>39</v>
      </c>
      <c r="AF44">
        <f t="shared" si="1004"/>
        <v>12.0166351452099</v>
      </c>
    </row>
    <row r="45">
      <c r="A45">
        <f t="shared" si="1011"/>
        <v>39</v>
      </c>
      <c r="B45">
        <v>2.2483238493907365</v>
      </c>
      <c r="C45">
        <f t="shared" si="1012"/>
        <v>12.0166351452099</v>
      </c>
      <c r="E45">
        <f t="shared" si="1013"/>
        <v>40</v>
      </c>
      <c r="F45" t="e">
        <f t="shared" si="1003"/>
        <v>#NAME?</v>
      </c>
      <c r="G45" t="e">
        <f t="shared" si="1014"/>
        <v>#NAME?</v>
      </c>
      <c r="W45">
        <f t="shared" si="1005"/>
        <v>40</v>
      </c>
      <c r="X45" t="e">
        <f t="shared" si="1006"/>
        <v>#NAME?</v>
      </c>
      <c r="Y45" t="e">
        <f t="shared" si="1007"/>
        <v>#NAME?</v>
      </c>
      <c r="Z45" t="e">
        <f t="shared" si="1008"/>
        <v>#NAME?</v>
      </c>
      <c r="AA45" t="e">
        <f t="shared" si="994"/>
        <v>#NAME?</v>
      </c>
      <c r="AB45" t="e">
        <f t="shared" si="1009"/>
        <v>#NAME?</v>
      </c>
      <c r="AC45" t="e">
        <f t="shared" si="1010"/>
        <v>#NAME?</v>
      </c>
      <c r="AE45">
        <f t="shared" si="1015"/>
        <v>40</v>
      </c>
      <c r="AF45">
        <f t="shared" si="1004"/>
        <v>9.6075824244635495</v>
      </c>
    </row>
    <row r="46">
      <c r="A46">
        <f t="shared" si="1011"/>
        <v>40</v>
      </c>
      <c r="B46">
        <v>-1.3543974073052196</v>
      </c>
      <c r="C46">
        <f t="shared" si="1012"/>
        <v>9.6075824244635495</v>
      </c>
      <c r="E46">
        <f t="shared" si="1013"/>
        <v>41</v>
      </c>
      <c r="F46" t="e">
        <f t="shared" si="1003"/>
        <v>#NAME?</v>
      </c>
      <c r="G46" t="e">
        <f t="shared" si="1014"/>
        <v>#NAME?</v>
      </c>
      <c r="W46">
        <f t="shared" si="1005"/>
        <v>41</v>
      </c>
      <c r="X46" t="e">
        <f t="shared" si="1006"/>
        <v>#NAME?</v>
      </c>
      <c r="Y46" t="e">
        <f t="shared" si="1007"/>
        <v>#NAME?</v>
      </c>
      <c r="Z46" t="e">
        <f t="shared" si="1008"/>
        <v>#NAME?</v>
      </c>
      <c r="AA46" t="e">
        <f t="shared" si="994"/>
        <v>#NAME?</v>
      </c>
      <c r="AB46" t="e">
        <f t="shared" si="1009"/>
        <v>#NAME?</v>
      </c>
      <c r="AC46" t="e">
        <f t="shared" si="1010"/>
        <v>#NAME?</v>
      </c>
      <c r="AE46">
        <f t="shared" si="1015"/>
        <v>41</v>
      </c>
      <c r="AF46">
        <f t="shared" si="1004"/>
        <v>10.47879870661</v>
      </c>
    </row>
    <row r="47">
      <c r="A47">
        <f t="shared" si="1011"/>
        <v>41</v>
      </c>
      <c r="B47">
        <v>0.48261152802448642</v>
      </c>
      <c r="C47">
        <f t="shared" si="1012"/>
        <v>10.47879870661</v>
      </c>
      <c r="E47">
        <f t="shared" si="1013"/>
        <v>42</v>
      </c>
      <c r="F47" t="e">
        <f t="shared" si="1003"/>
        <v>#NAME?</v>
      </c>
      <c r="G47" t="e">
        <f t="shared" si="1014"/>
        <v>#NAME?</v>
      </c>
      <c r="W47">
        <f t="shared" si="1005"/>
        <v>42</v>
      </c>
      <c r="X47" t="e">
        <f t="shared" si="1006"/>
        <v>#NAME?</v>
      </c>
      <c r="Y47" t="e">
        <f t="shared" si="1007"/>
        <v>#NAME?</v>
      </c>
      <c r="Z47" t="e">
        <f t="shared" si="1008"/>
        <v>#NAME?</v>
      </c>
      <c r="AA47" t="e">
        <f t="shared" si="994"/>
        <v>#NAME?</v>
      </c>
      <c r="AB47" t="e">
        <f t="shared" si="1009"/>
        <v>#NAME?</v>
      </c>
      <c r="AC47" t="e">
        <f t="shared" si="1010"/>
        <v>#NAME?</v>
      </c>
      <c r="AE47">
        <f t="shared" si="1015"/>
        <v>42</v>
      </c>
      <c r="AF47">
        <f t="shared" si="1004"/>
        <v>10.1311459961181</v>
      </c>
    </row>
    <row r="48">
      <c r="A48">
        <f t="shared" si="1011"/>
        <v>42</v>
      </c>
      <c r="B48">
        <v>-0.10749079290397742</v>
      </c>
      <c r="C48">
        <f t="shared" si="1012"/>
        <v>10.1311459961181</v>
      </c>
      <c r="E48">
        <f t="shared" si="1013"/>
        <v>43</v>
      </c>
      <c r="F48" t="e">
        <f t="shared" si="1003"/>
        <v>#NAME?</v>
      </c>
      <c r="G48" t="e">
        <f t="shared" si="1014"/>
        <v>#NAME?</v>
      </c>
      <c r="W48">
        <f t="shared" si="1005"/>
        <v>43</v>
      </c>
      <c r="X48" t="e">
        <f t="shared" si="1006"/>
        <v>#NAME?</v>
      </c>
      <c r="Y48" t="e">
        <f t="shared" si="1007"/>
        <v>#NAME?</v>
      </c>
      <c r="Z48" t="e">
        <f t="shared" si="1008"/>
        <v>#NAME?</v>
      </c>
      <c r="AA48" t="e">
        <f t="shared" si="994"/>
        <v>#NAME?</v>
      </c>
      <c r="AB48" t="e">
        <f t="shared" si="1009"/>
        <v>#NAME?</v>
      </c>
      <c r="AC48" t="e">
        <f t="shared" si="1010"/>
        <v>#NAME?</v>
      </c>
      <c r="AE48">
        <f t="shared" si="1015"/>
        <v>43</v>
      </c>
      <c r="AF48">
        <f t="shared" si="1004"/>
        <v>9.3102529930939504</v>
      </c>
    </row>
    <row r="49">
      <c r="A49">
        <f t="shared" si="1011"/>
        <v>43</v>
      </c>
      <c r="B49">
        <v>-0.80304736276954691</v>
      </c>
      <c r="C49">
        <f t="shared" si="1012"/>
        <v>9.3102529930939504</v>
      </c>
      <c r="E49">
        <f t="shared" si="1013"/>
        <v>44</v>
      </c>
      <c r="F49" t="e">
        <f t="shared" si="1003"/>
        <v>#NAME?</v>
      </c>
      <c r="G49" t="e">
        <f t="shared" si="1014"/>
        <v>#NAME?</v>
      </c>
      <c r="W49">
        <f t="shared" si="1005"/>
        <v>44</v>
      </c>
      <c r="X49" t="e">
        <f t="shared" si="1006"/>
        <v>#NAME?</v>
      </c>
      <c r="Y49" t="e">
        <f t="shared" si="1007"/>
        <v>#NAME?</v>
      </c>
      <c r="Z49" t="e">
        <f t="shared" si="1008"/>
        <v>#NAME?</v>
      </c>
      <c r="AA49" t="e">
        <f t="shared" si="994"/>
        <v>#NAME?</v>
      </c>
      <c r="AB49" t="e">
        <f t="shared" si="1009"/>
        <v>#NAME?</v>
      </c>
      <c r="AC49" t="e">
        <f t="shared" si="1010"/>
        <v>#NAME?</v>
      </c>
      <c r="AE49">
        <f t="shared" si="1015"/>
        <v>44</v>
      </c>
      <c r="AF49">
        <f t="shared" si="1004"/>
        <v>9.9532374569799291</v>
      </c>
    </row>
    <row r="50">
      <c r="A50">
        <f t="shared" si="1011"/>
        <v>44</v>
      </c>
      <c r="B50">
        <v>0.2754508892602448</v>
      </c>
      <c r="C50">
        <f t="shared" si="1012"/>
        <v>9.9532374569799291</v>
      </c>
      <c r="E50">
        <f t="shared" si="1013"/>
        <v>45</v>
      </c>
      <c r="F50" t="e">
        <f t="shared" si="1003"/>
        <v>#NAME?</v>
      </c>
      <c r="G50" t="e">
        <f t="shared" si="1014"/>
        <v>#NAME?</v>
      </c>
      <c r="W50">
        <f t="shared" si="1005"/>
        <v>45</v>
      </c>
      <c r="X50" t="e">
        <f t="shared" si="1006"/>
        <v>#NAME?</v>
      </c>
      <c r="Y50" t="e">
        <f t="shared" si="1007"/>
        <v>#NAME?</v>
      </c>
      <c r="Z50" t="e">
        <f t="shared" si="1008"/>
        <v>#NAME?</v>
      </c>
      <c r="AA50" t="e">
        <f t="shared" si="994"/>
        <v>#NAME?</v>
      </c>
      <c r="AB50" t="e">
        <f t="shared" si="1009"/>
        <v>#NAME?</v>
      </c>
      <c r="AC50" t="e">
        <f t="shared" si="1010"/>
        <v>#NAME?</v>
      </c>
      <c r="AE50">
        <f t="shared" si="1015"/>
        <v>45</v>
      </c>
      <c r="AF50">
        <f t="shared" si="1004"/>
        <v>9.9320829740295693</v>
      </c>
    </row>
    <row r="51">
      <c r="A51">
        <f t="shared" si="1011"/>
        <v>45</v>
      </c>
      <c r="B51">
        <v>1.990693199567108e-02</v>
      </c>
      <c r="C51">
        <f t="shared" si="1012"/>
        <v>9.9320829740295693</v>
      </c>
      <c r="E51">
        <f t="shared" si="1013"/>
        <v>46</v>
      </c>
      <c r="F51" t="e">
        <f t="shared" si="1003"/>
        <v>#NAME?</v>
      </c>
      <c r="G51" t="e">
        <f t="shared" si="1014"/>
        <v>#NAME?</v>
      </c>
      <c r="W51">
        <f t="shared" si="1005"/>
        <v>46</v>
      </c>
      <c r="X51" t="e">
        <f t="shared" si="1006"/>
        <v>#NAME?</v>
      </c>
      <c r="Y51" t="e">
        <f t="shared" si="1007"/>
        <v>#NAME?</v>
      </c>
      <c r="Z51" t="e">
        <f t="shared" si="1008"/>
        <v>#NAME?</v>
      </c>
      <c r="AA51" t="e">
        <f t="shared" si="994"/>
        <v>#NAME?</v>
      </c>
      <c r="AB51" t="e">
        <f t="shared" si="1009"/>
        <v>#NAME?</v>
      </c>
      <c r="AC51" t="e">
        <f t="shared" si="1010"/>
        <v>#NAME?</v>
      </c>
      <c r="AE51">
        <f t="shared" si="1015"/>
        <v>46</v>
      </c>
      <c r="AF51">
        <f t="shared" si="1004"/>
        <v>11.635101979488701</v>
      </c>
    </row>
    <row r="52">
      <c r="A52">
        <f t="shared" si="1011"/>
        <v>46</v>
      </c>
      <c r="B52">
        <v>1.6866252840670588</v>
      </c>
      <c r="C52">
        <f t="shared" si="1012"/>
        <v>11.635101979488701</v>
      </c>
      <c r="E52">
        <f t="shared" si="1013"/>
        <v>47</v>
      </c>
      <c r="F52" t="e">
        <f t="shared" si="1003"/>
        <v>#NAME?</v>
      </c>
      <c r="G52" t="e">
        <f t="shared" si="1014"/>
        <v>#NAME?</v>
      </c>
      <c r="W52">
        <f t="shared" si="1005"/>
        <v>47</v>
      </c>
      <c r="X52" t="e">
        <f t="shared" si="1006"/>
        <v>#NAME?</v>
      </c>
      <c r="Y52" t="e">
        <f t="shared" si="1007"/>
        <v>#NAME?</v>
      </c>
      <c r="Z52" t="e">
        <f t="shared" si="1008"/>
        <v>#NAME?</v>
      </c>
      <c r="AA52" t="e">
        <f t="shared" si="994"/>
        <v>#NAME?</v>
      </c>
      <c r="AB52" t="e">
        <f t="shared" si="1009"/>
        <v>#NAME?</v>
      </c>
      <c r="AC52" t="e">
        <f t="shared" si="1010"/>
        <v>#NAME?</v>
      </c>
      <c r="AE52">
        <f t="shared" si="1015"/>
        <v>47</v>
      </c>
      <c r="AF52">
        <f t="shared" si="1004"/>
        <v>10.4282428223983</v>
      </c>
    </row>
    <row r="53">
      <c r="A53">
        <f t="shared" si="1011"/>
        <v>47</v>
      </c>
      <c r="B53">
        <v>-0.37900350643042596</v>
      </c>
      <c r="C53">
        <f t="shared" si="1012"/>
        <v>10.4282428223983</v>
      </c>
      <c r="E53">
        <f t="shared" si="1013"/>
        <v>48</v>
      </c>
      <c r="F53" t="e">
        <f t="shared" si="1003"/>
        <v>#NAME?</v>
      </c>
      <c r="G53" t="e">
        <f t="shared" si="1014"/>
        <v>#NAME?</v>
      </c>
      <c r="W53">
        <f t="shared" si="1005"/>
        <v>48</v>
      </c>
      <c r="X53" t="e">
        <f t="shared" si="1006"/>
        <v>#NAME?</v>
      </c>
      <c r="Y53" t="e">
        <f t="shared" si="1007"/>
        <v>#NAME?</v>
      </c>
      <c r="Z53" t="e">
        <f t="shared" si="1008"/>
        <v>#NAME?</v>
      </c>
      <c r="AA53" t="e">
        <f t="shared" si="994"/>
        <v>#NAME?</v>
      </c>
      <c r="AB53" t="e">
        <f t="shared" si="1009"/>
        <v>#NAME?</v>
      </c>
      <c r="AC53" t="e">
        <f t="shared" si="1010"/>
        <v>#NAME?</v>
      </c>
      <c r="AE53">
        <f t="shared" si="1015"/>
        <v>48</v>
      </c>
      <c r="AF53">
        <f t="shared" si="1004"/>
        <v>9.6942306857498295</v>
      </c>
    </row>
    <row r="54">
      <c r="A54">
        <f t="shared" si="1011"/>
        <v>48</v>
      </c>
      <c r="B54">
        <v>-0.68133999121505795</v>
      </c>
      <c r="C54">
        <f t="shared" si="1012"/>
        <v>9.6942306857498295</v>
      </c>
      <c r="E54">
        <f t="shared" si="1013"/>
        <v>49</v>
      </c>
      <c r="F54" t="e">
        <f t="shared" si="1003"/>
        <v>#NAME?</v>
      </c>
      <c r="G54" t="e">
        <f t="shared" si="1014"/>
        <v>#NAME?</v>
      </c>
      <c r="W54">
        <f t="shared" si="1005"/>
        <v>49</v>
      </c>
      <c r="X54" t="e">
        <f t="shared" si="1006"/>
        <v>#NAME?</v>
      </c>
      <c r="Y54" t="e">
        <f t="shared" si="1007"/>
        <v>#NAME?</v>
      </c>
      <c r="Z54" t="e">
        <f t="shared" si="1008"/>
        <v>#NAME?</v>
      </c>
      <c r="AA54" t="e">
        <f t="shared" si="994"/>
        <v>#NAME?</v>
      </c>
      <c r="AB54" t="e">
        <f t="shared" si="1009"/>
        <v>#NAME?</v>
      </c>
      <c r="AC54" t="e">
        <f t="shared" si="1010"/>
        <v>#NAME?</v>
      </c>
      <c r="AE54">
        <f t="shared" si="1015"/>
        <v>49</v>
      </c>
      <c r="AF54">
        <f t="shared" si="1004"/>
        <v>10.169036752376799</v>
      </c>
    </row>
    <row r="55">
      <c r="A55">
        <f t="shared" si="1011"/>
        <v>49</v>
      </c>
      <c r="B55">
        <v>0.24680727410891504</v>
      </c>
      <c r="C55">
        <f t="shared" si="1012"/>
        <v>10.169036752376799</v>
      </c>
      <c r="E55">
        <f t="shared" si="1013"/>
        <v>50</v>
      </c>
      <c r="F55" t="e">
        <f t="shared" si="1003"/>
        <v>#NAME?</v>
      </c>
      <c r="G55" t="e">
        <f t="shared" si="1014"/>
        <v>#NAME?</v>
      </c>
      <c r="W55">
        <f t="shared" si="1005"/>
        <v>50</v>
      </c>
      <c r="X55" t="e">
        <f t="shared" si="1006"/>
        <v>#NAME?</v>
      </c>
      <c r="Y55" t="e">
        <f t="shared" si="1007"/>
        <v>#NAME?</v>
      </c>
      <c r="Z55" t="e">
        <f t="shared" si="1008"/>
        <v>#NAME?</v>
      </c>
      <c r="AA55" t="e">
        <f t="shared" si="994"/>
        <v>#NAME?</v>
      </c>
      <c r="AB55" t="e">
        <f t="shared" si="1009"/>
        <v>#NAME?</v>
      </c>
      <c r="AC55" t="e">
        <f t="shared" si="1010"/>
        <v>#NAME?</v>
      </c>
      <c r="AE55">
        <f t="shared" si="1015"/>
        <v>50</v>
      </c>
      <c r="AF55">
        <f t="shared" si="1004"/>
        <v>10.4866557125901</v>
      </c>
    </row>
    <row r="56">
      <c r="A56">
        <f t="shared" si="1011"/>
        <v>50</v>
      </c>
      <c r="B56">
        <v>0.41769144074806713</v>
      </c>
      <c r="C56">
        <f t="shared" si="1012"/>
        <v>10.4866557125901</v>
      </c>
      <c r="E56">
        <f t="shared" si="1013"/>
        <v>51</v>
      </c>
      <c r="F56" t="e">
        <f t="shared" si="1003"/>
        <v>#NAME?</v>
      </c>
      <c r="G56" t="e">
        <f t="shared" si="1014"/>
        <v>#NAME?</v>
      </c>
      <c r="W56">
        <f t="shared" si="1005"/>
        <v>51</v>
      </c>
      <c r="X56" t="e">
        <f t="shared" si="1006"/>
        <v>#NAME?</v>
      </c>
      <c r="Y56" t="e">
        <f t="shared" si="1007"/>
        <v>#NAME?</v>
      </c>
      <c r="Z56" t="e">
        <f t="shared" si="1008"/>
        <v>#NAME?</v>
      </c>
      <c r="AA56" t="e">
        <f t="shared" si="994"/>
        <v>#NAME?</v>
      </c>
      <c r="AB56" t="e">
        <f t="shared" si="1009"/>
        <v>#NAME?</v>
      </c>
      <c r="AC56" t="e">
        <f t="shared" si="1010"/>
        <v>#NAME?</v>
      </c>
      <c r="AE56">
        <f t="shared" si="1015"/>
        <v>51</v>
      </c>
      <c r="AF56">
        <f t="shared" si="1004"/>
        <v>10.656149640052901</v>
      </c>
    </row>
    <row r="57">
      <c r="A57">
        <f t="shared" si="1011"/>
        <v>51</v>
      </c>
      <c r="B57">
        <v>0.39902892938942136</v>
      </c>
      <c r="C57">
        <f t="shared" si="1012"/>
        <v>10.656149640052901</v>
      </c>
      <c r="E57">
        <f t="shared" si="1013"/>
        <v>52</v>
      </c>
      <c r="F57" t="e">
        <f t="shared" si="1003"/>
        <v>#NAME?</v>
      </c>
      <c r="G57" t="e">
        <f t="shared" si="1014"/>
        <v>#NAME?</v>
      </c>
      <c r="W57">
        <f t="shared" si="1005"/>
        <v>52</v>
      </c>
      <c r="X57" t="e">
        <f t="shared" si="1006"/>
        <v>#NAME?</v>
      </c>
      <c r="Y57" t="e">
        <f t="shared" si="1007"/>
        <v>#NAME?</v>
      </c>
      <c r="Z57" t="e">
        <f t="shared" si="1008"/>
        <v>#NAME?</v>
      </c>
      <c r="AA57" t="e">
        <f t="shared" si="994"/>
        <v>#NAME?</v>
      </c>
      <c r="AB57" t="e">
        <f t="shared" si="1009"/>
        <v>#NAME?</v>
      </c>
      <c r="AC57" t="e">
        <f t="shared" si="1010"/>
        <v>#NAME?</v>
      </c>
      <c r="AE57">
        <f t="shared" si="1015"/>
        <v>52</v>
      </c>
      <c r="AF57">
        <f t="shared" si="1004"/>
        <v>10.129317566616001</v>
      </c>
    </row>
    <row r="58">
      <c r="A58">
        <f t="shared" si="1011"/>
        <v>52</v>
      </c>
      <c r="B58">
        <v>-0.25018139554307461</v>
      </c>
      <c r="C58">
        <f t="shared" si="1012"/>
        <v>10.129317566616001</v>
      </c>
      <c r="E58">
        <f t="shared" si="1013"/>
        <v>53</v>
      </c>
      <c r="F58" t="e">
        <f t="shared" si="1003"/>
        <v>#NAME?</v>
      </c>
      <c r="G58" t="e">
        <f t="shared" si="1014"/>
        <v>#NAME?</v>
      </c>
      <c r="W58">
        <f t="shared" si="1005"/>
        <v>53</v>
      </c>
      <c r="X58" t="e">
        <f t="shared" si="1006"/>
        <v>#NAME?</v>
      </c>
      <c r="Y58" t="e">
        <f t="shared" si="1007"/>
        <v>#NAME?</v>
      </c>
      <c r="Z58" t="e">
        <f t="shared" si="1008"/>
        <v>#NAME?</v>
      </c>
      <c r="AA58" t="e">
        <f t="shared" si="994"/>
        <v>#NAME?</v>
      </c>
      <c r="AB58" t="e">
        <f t="shared" si="1009"/>
        <v>#NAME?</v>
      </c>
      <c r="AC58" t="e">
        <f t="shared" si="1010"/>
        <v>#NAME?</v>
      </c>
      <c r="AE58">
        <f t="shared" si="1015"/>
        <v>53</v>
      </c>
      <c r="AF58">
        <f t="shared" si="1004"/>
        <v>8.9663057524182008</v>
      </c>
    </row>
    <row r="59">
      <c r="A59">
        <f t="shared" si="1011"/>
        <v>53</v>
      </c>
      <c r="B59">
        <v>-1.1742528233216154</v>
      </c>
      <c r="C59">
        <f t="shared" si="1012"/>
        <v>8.9663057524182008</v>
      </c>
      <c r="E59">
        <f t="shared" si="1013"/>
        <v>54</v>
      </c>
      <c r="F59" t="e">
        <f t="shared" si="1003"/>
        <v>#NAME?</v>
      </c>
      <c r="G59" t="e">
        <f t="shared" si="1014"/>
        <v>#NAME?</v>
      </c>
      <c r="W59">
        <f t="shared" si="1005"/>
        <v>54</v>
      </c>
      <c r="X59" t="e">
        <f t="shared" si="1006"/>
        <v>#NAME?</v>
      </c>
      <c r="Y59" t="e">
        <f t="shared" si="1007"/>
        <v>#NAME?</v>
      </c>
      <c r="Z59" t="e">
        <f t="shared" si="1008"/>
        <v>#NAME?</v>
      </c>
      <c r="AA59" t="e">
        <f t="shared" si="994"/>
        <v>#NAME?</v>
      </c>
      <c r="AB59" t="e">
        <f t="shared" si="1009"/>
        <v>#NAME?</v>
      </c>
      <c r="AC59" t="e">
        <f t="shared" si="1010"/>
        <v>#NAME?</v>
      </c>
      <c r="AE59">
        <f t="shared" si="1015"/>
        <v>54</v>
      </c>
      <c r="AF59">
        <f t="shared" si="1004"/>
        <v>8.1067514389924895</v>
      </c>
    </row>
    <row r="60">
      <c r="A60">
        <f t="shared" si="1011"/>
        <v>54</v>
      </c>
      <c r="B60">
        <v>-1.404513152364584</v>
      </c>
      <c r="C60">
        <f t="shared" si="1012"/>
        <v>8.1067514389924895</v>
      </c>
      <c r="E60">
        <f t="shared" si="1013"/>
        <v>55</v>
      </c>
      <c r="F60" t="e">
        <f t="shared" si="1003"/>
        <v>#NAME?</v>
      </c>
      <c r="G60" t="e">
        <f t="shared" si="1014"/>
        <v>#NAME?</v>
      </c>
      <c r="W60">
        <f t="shared" si="1005"/>
        <v>55</v>
      </c>
      <c r="X60" t="e">
        <f t="shared" si="1006"/>
        <v>#NAME?</v>
      </c>
      <c r="Y60" t="e">
        <f t="shared" si="1007"/>
        <v>#NAME?</v>
      </c>
      <c r="Z60" t="e">
        <f t="shared" si="1008"/>
        <v>#NAME?</v>
      </c>
      <c r="AA60" t="e">
        <f t="shared" si="994"/>
        <v>#NAME?</v>
      </c>
      <c r="AB60" t="e">
        <f t="shared" si="1009"/>
        <v>#NAME?</v>
      </c>
      <c r="AC60" t="e">
        <f t="shared" si="1010"/>
        <v>#NAME?</v>
      </c>
      <c r="AE60">
        <f t="shared" si="1015"/>
        <v>55</v>
      </c>
      <c r="AF60">
        <f t="shared" si="1004"/>
        <v>8.6738987578515108</v>
      </c>
    </row>
    <row r="61">
      <c r="A61">
        <f t="shared" si="1011"/>
        <v>55</v>
      </c>
      <c r="B61">
        <v>-0.28172987991615123</v>
      </c>
      <c r="C61">
        <f t="shared" si="1012"/>
        <v>8.6738987578515108</v>
      </c>
      <c r="E61">
        <f t="shared" si="1013"/>
        <v>56</v>
      </c>
      <c r="F61" t="e">
        <f t="shared" si="1003"/>
        <v>#NAME?</v>
      </c>
      <c r="G61" t="e">
        <f t="shared" si="1014"/>
        <v>#NAME?</v>
      </c>
      <c r="W61">
        <f t="shared" si="1005"/>
        <v>56</v>
      </c>
      <c r="X61" t="e">
        <f t="shared" si="1006"/>
        <v>#NAME?</v>
      </c>
      <c r="Y61" t="e">
        <f t="shared" si="1007"/>
        <v>#NAME?</v>
      </c>
      <c r="Z61" t="e">
        <f t="shared" si="1008"/>
        <v>#NAME?</v>
      </c>
      <c r="AA61" t="e">
        <f t="shared" si="994"/>
        <v>#NAME?</v>
      </c>
      <c r="AB61" t="e">
        <f t="shared" si="1009"/>
        <v>#NAME?</v>
      </c>
      <c r="AC61" t="e">
        <f t="shared" si="1010"/>
        <v>#NAME?</v>
      </c>
      <c r="AE61">
        <f t="shared" si="1015"/>
        <v>56</v>
      </c>
      <c r="AF61">
        <f t="shared" si="1004"/>
        <v>8.73986212375927</v>
      </c>
    </row>
    <row r="62">
      <c r="A62">
        <f t="shared" si="1011"/>
        <v>56</v>
      </c>
      <c r="B62">
        <v>-0.38821298272001858</v>
      </c>
      <c r="C62">
        <f t="shared" si="1012"/>
        <v>8.73986212375927</v>
      </c>
      <c r="E62">
        <f t="shared" si="1013"/>
        <v>57</v>
      </c>
      <c r="F62" t="e">
        <f t="shared" si="1003"/>
        <v>#NAME?</v>
      </c>
      <c r="G62" t="e">
        <f t="shared" si="1014"/>
        <v>#NAME?</v>
      </c>
      <c r="W62">
        <f t="shared" si="1005"/>
        <v>57</v>
      </c>
      <c r="X62" t="e">
        <f t="shared" si="1006"/>
        <v>#NAME?</v>
      </c>
      <c r="Y62" t="e">
        <f t="shared" si="1007"/>
        <v>#NAME?</v>
      </c>
      <c r="Z62" t="e">
        <f t="shared" si="1008"/>
        <v>#NAME?</v>
      </c>
      <c r="AA62" t="e">
        <f t="shared" si="994"/>
        <v>#NAME?</v>
      </c>
      <c r="AB62" t="e">
        <f t="shared" si="1009"/>
        <v>#NAME?</v>
      </c>
      <c r="AC62" t="e">
        <f t="shared" si="1010"/>
        <v>#NAME?</v>
      </c>
      <c r="AE62">
        <f t="shared" si="1015"/>
        <v>57</v>
      </c>
      <c r="AF62">
        <f t="shared" si="1004"/>
        <v>8.7639760975280705</v>
      </c>
    </row>
    <row r="63">
      <c r="A63">
        <f t="shared" si="1011"/>
        <v>57</v>
      </c>
      <c r="B63">
        <v>-0.43156998564742921</v>
      </c>
      <c r="C63">
        <f t="shared" si="1012"/>
        <v>8.7639760975280705</v>
      </c>
      <c r="E63">
        <f t="shared" si="1013"/>
        <v>58</v>
      </c>
      <c r="F63" t="e">
        <f t="shared" si="1003"/>
        <v>#NAME?</v>
      </c>
      <c r="G63" t="e">
        <f t="shared" si="1014"/>
        <v>#NAME?</v>
      </c>
      <c r="W63">
        <f t="shared" si="1005"/>
        <v>58</v>
      </c>
      <c r="X63" t="e">
        <f t="shared" si="1006"/>
        <v>#NAME?</v>
      </c>
      <c r="Y63" t="e">
        <f t="shared" si="1007"/>
        <v>#NAME?</v>
      </c>
      <c r="Z63" t="e">
        <f t="shared" si="1008"/>
        <v>#NAME?</v>
      </c>
      <c r="AA63" t="e">
        <f t="shared" si="994"/>
        <v>#NAME?</v>
      </c>
      <c r="AB63" t="e">
        <f t="shared" si="1009"/>
        <v>#NAME?</v>
      </c>
      <c r="AC63" t="e">
        <f t="shared" si="1010"/>
        <v>#NAME?</v>
      </c>
      <c r="AE63">
        <f t="shared" si="1015"/>
        <v>58</v>
      </c>
      <c r="AF63">
        <f t="shared" si="1004"/>
        <v>10.6076322702509</v>
      </c>
    </row>
    <row r="64">
      <c r="A64">
        <f t="shared" si="1011"/>
        <v>58</v>
      </c>
      <c r="B64">
        <v>1.386535004851783</v>
      </c>
      <c r="C64">
        <f t="shared" si="1012"/>
        <v>10.6076322702509</v>
      </c>
      <c r="E64">
        <f t="shared" si="1013"/>
        <v>59</v>
      </c>
      <c r="F64" t="e">
        <f t="shared" si="1003"/>
        <v>#NAME?</v>
      </c>
      <c r="G64" t="e">
        <f t="shared" si="1014"/>
        <v>#NAME?</v>
      </c>
      <c r="W64">
        <f t="shared" si="1005"/>
        <v>59</v>
      </c>
      <c r="X64" t="e">
        <f t="shared" si="1006"/>
        <v>#NAME?</v>
      </c>
      <c r="Y64" t="e">
        <f t="shared" si="1007"/>
        <v>#NAME?</v>
      </c>
      <c r="Z64" t="e">
        <f t="shared" si="1008"/>
        <v>#NAME?</v>
      </c>
      <c r="AA64" t="e">
        <f t="shared" si="994"/>
        <v>#NAME?</v>
      </c>
      <c r="AB64" t="e">
        <f t="shared" si="1009"/>
        <v>#NAME?</v>
      </c>
      <c r="AC64" t="e">
        <f t="shared" si="1010"/>
        <v>#NAME?</v>
      </c>
      <c r="AE64">
        <f t="shared" si="1015"/>
        <v>59</v>
      </c>
      <c r="AF64">
        <f t="shared" si="1004"/>
        <v>8.8462843661117496</v>
      </c>
    </row>
    <row r="65">
      <c r="A65">
        <f t="shared" si="1011"/>
        <v>59</v>
      </c>
      <c r="B65">
        <v>-1.3017512220934879</v>
      </c>
      <c r="C65">
        <f t="shared" si="1012"/>
        <v>8.8462843661117496</v>
      </c>
      <c r="E65">
        <f t="shared" si="1013"/>
        <v>60</v>
      </c>
      <c r="F65" t="e">
        <f t="shared" si="1003"/>
        <v>#NAME?</v>
      </c>
      <c r="G65" t="e">
        <f t="shared" si="1014"/>
        <v>#NAME?</v>
      </c>
      <c r="W65">
        <f t="shared" si="1005"/>
        <v>60</v>
      </c>
      <c r="X65" t="e">
        <f t="shared" si="1006"/>
        <v>#NAME?</v>
      </c>
      <c r="Y65" t="e">
        <f t="shared" si="1007"/>
        <v>#NAME?</v>
      </c>
      <c r="Z65" t="e">
        <f t="shared" si="1008"/>
        <v>#NAME?</v>
      </c>
      <c r="AA65" t="e">
        <f t="shared" si="994"/>
        <v>#NAME?</v>
      </c>
      <c r="AB65" t="e">
        <f t="shared" si="1009"/>
        <v>#NAME?</v>
      </c>
      <c r="AC65" t="e">
        <f t="shared" si="1010"/>
        <v>#NAME?</v>
      </c>
      <c r="AE65">
        <f t="shared" si="1015"/>
        <v>60</v>
      </c>
      <c r="AF65">
        <f t="shared" si="1004"/>
        <v>8.1974304720787892</v>
      </c>
    </row>
    <row r="66">
      <c r="A66">
        <f t="shared" si="1011"/>
        <v>60</v>
      </c>
      <c r="B66">
        <v>-1.2553188286181356</v>
      </c>
      <c r="C66">
        <f t="shared" si="1012"/>
        <v>8.1974304720787892</v>
      </c>
      <c r="E66">
        <f t="shared" si="1013"/>
        <v>61</v>
      </c>
      <c r="F66" t="e">
        <f t="shared" si="1003"/>
        <v>#NAME?</v>
      </c>
      <c r="G66" t="e">
        <f t="shared" si="1014"/>
        <v>#NAME?</v>
      </c>
      <c r="W66">
        <f t="shared" si="1005"/>
        <v>61</v>
      </c>
      <c r="X66" t="e">
        <f t="shared" si="1006"/>
        <v>#NAME?</v>
      </c>
      <c r="Y66" t="e">
        <f t="shared" si="1007"/>
        <v>#NAME?</v>
      </c>
      <c r="Z66" t="e">
        <f t="shared" si="1008"/>
        <v>#NAME?</v>
      </c>
      <c r="AA66" t="e">
        <f t="shared" si="994"/>
        <v>#NAME?</v>
      </c>
      <c r="AB66" t="e">
        <f t="shared" si="1009"/>
        <v>#NAME?</v>
      </c>
      <c r="AC66" t="e">
        <f t="shared" si="1010"/>
        <v>#NAME?</v>
      </c>
      <c r="AE66">
        <f t="shared" si="1015"/>
        <v>61</v>
      </c>
      <c r="AF66">
        <f t="shared" si="1004"/>
        <v>9.7004678107933806</v>
      </c>
    </row>
    <row r="67">
      <c r="A67">
        <f t="shared" si="1011"/>
        <v>61</v>
      </c>
      <c r="B67">
        <v>0.71120271461460161</v>
      </c>
      <c r="C67">
        <f t="shared" si="1012"/>
        <v>9.7004678107933806</v>
      </c>
      <c r="E67">
        <f t="shared" si="1013"/>
        <v>62</v>
      </c>
      <c r="F67" t="e">
        <f t="shared" si="1003"/>
        <v>#NAME?</v>
      </c>
      <c r="G67" t="e">
        <f t="shared" si="1014"/>
        <v>#NAME?</v>
      </c>
      <c r="W67">
        <f t="shared" si="1005"/>
        <v>62</v>
      </c>
      <c r="X67" t="e">
        <f t="shared" si="1006"/>
        <v>#NAME?</v>
      </c>
      <c r="Y67" t="e">
        <f t="shared" si="1007"/>
        <v>#NAME?</v>
      </c>
      <c r="Z67" t="e">
        <f t="shared" si="1008"/>
        <v>#NAME?</v>
      </c>
      <c r="AA67" t="e">
        <f t="shared" si="994"/>
        <v>#NAME?</v>
      </c>
      <c r="AB67" t="e">
        <f t="shared" si="1009"/>
        <v>#NAME?</v>
      </c>
      <c r="AC67" t="e">
        <f t="shared" si="1010"/>
        <v>#NAME?</v>
      </c>
      <c r="AE67">
        <f t="shared" si="1015"/>
        <v>62</v>
      </c>
      <c r="AF67">
        <f t="shared" si="1004"/>
        <v>9.4988084630262399</v>
      </c>
    </row>
    <row r="68">
      <c r="A68">
        <f t="shared" si="1011"/>
        <v>62</v>
      </c>
      <c r="B68">
        <v>-0.14927846160621394</v>
      </c>
      <c r="C68">
        <f t="shared" si="1012"/>
        <v>9.4988084630262399</v>
      </c>
      <c r="E68">
        <f t="shared" si="1013"/>
        <v>63</v>
      </c>
      <c r="F68" t="e">
        <f t="shared" si="1003"/>
        <v>#NAME?</v>
      </c>
      <c r="G68" t="e">
        <f t="shared" si="1014"/>
        <v>#NAME?</v>
      </c>
      <c r="W68">
        <f t="shared" si="1005"/>
        <v>63</v>
      </c>
      <c r="X68" t="e">
        <f t="shared" si="1006"/>
        <v>#NAME?</v>
      </c>
      <c r="Y68" t="e">
        <f t="shared" si="1007"/>
        <v>#NAME?</v>
      </c>
      <c r="Z68" t="e">
        <f t="shared" si="1008"/>
        <v>#NAME?</v>
      </c>
      <c r="AA68" t="e">
        <f t="shared" si="994"/>
        <v>#NAME?</v>
      </c>
      <c r="AB68" t="e">
        <f t="shared" si="1009"/>
        <v>#NAME?</v>
      </c>
      <c r="AC68" t="e">
        <f t="shared" si="1010"/>
        <v>#NAME?</v>
      </c>
      <c r="AE68">
        <f t="shared" si="1015"/>
        <v>63</v>
      </c>
      <c r="AF68">
        <f t="shared" si="1004"/>
        <v>9.7003857789385908</v>
      </c>
    </row>
    <row r="69">
      <c r="A69">
        <f t="shared" si="1011"/>
        <v>63</v>
      </c>
      <c r="B69">
        <v>2.1364162498976987e-02</v>
      </c>
      <c r="C69">
        <f t="shared" si="1012"/>
        <v>9.7003857789385908</v>
      </c>
      <c r="E69">
        <f t="shared" si="1013"/>
        <v>64</v>
      </c>
      <c r="F69" t="e">
        <f t="shared" si="1003"/>
        <v>#NAME?</v>
      </c>
      <c r="G69" t="e">
        <f t="shared" si="1014"/>
        <v>#NAME?</v>
      </c>
      <c r="W69">
        <f t="shared" si="1005"/>
        <v>64</v>
      </c>
      <c r="X69" t="e">
        <f t="shared" si="1006"/>
        <v>#NAME?</v>
      </c>
      <c r="Y69" t="e">
        <f t="shared" si="1007"/>
        <v>#NAME?</v>
      </c>
      <c r="Z69" t="e">
        <f t="shared" si="1008"/>
        <v>#NAME?</v>
      </c>
      <c r="AA69" t="e">
        <f t="shared" si="994"/>
        <v>#NAME?</v>
      </c>
      <c r="AB69" t="e">
        <f t="shared" si="1009"/>
        <v>#NAME?</v>
      </c>
      <c r="AC69" t="e">
        <f t="shared" si="1010"/>
        <v>#NAME?</v>
      </c>
      <c r="AE69">
        <f t="shared" si="1015"/>
        <v>64</v>
      </c>
      <c r="AF69">
        <f t="shared" si="1004"/>
        <v>9.8196279939384397</v>
      </c>
    </row>
    <row r="70">
      <c r="A70">
        <f t="shared" si="1011"/>
        <v>64</v>
      </c>
      <c r="B70">
        <v>3.3630781181214632e-02</v>
      </c>
      <c r="C70">
        <f t="shared" si="1012"/>
        <v>9.8196279939384397</v>
      </c>
      <c r="E70">
        <f t="shared" si="1013"/>
        <v>65</v>
      </c>
      <c r="F70" t="e">
        <f t="shared" si="1003"/>
        <v>#NAME?</v>
      </c>
      <c r="G70" t="e">
        <f t="shared" si="1014"/>
        <v>#NAME?</v>
      </c>
      <c r="W70">
        <f t="shared" si="1005"/>
        <v>65</v>
      </c>
      <c r="X70" t="e">
        <f t="shared" si="1006"/>
        <v>#NAME?</v>
      </c>
      <c r="Y70" t="e">
        <f t="shared" si="1007"/>
        <v>#NAME?</v>
      </c>
      <c r="Z70" t="e">
        <f t="shared" si="1008"/>
        <v>#NAME?</v>
      </c>
      <c r="AA70" t="e">
        <f t="shared" ref="AA70:AA110" si="1017">K$16</f>
        <v>#NAME?</v>
      </c>
      <c r="AB70" t="e">
        <f t="shared" si="1009"/>
        <v>#NAME?</v>
      </c>
      <c r="AC70" t="e">
        <f t="shared" si="1010"/>
        <v>#NAME?</v>
      </c>
      <c r="AE70">
        <f t="shared" si="1015"/>
        <v>65</v>
      </c>
      <c r="AF70">
        <f t="shared" si="1004"/>
        <v>12.3570455852348</v>
      </c>
    </row>
    <row r="71">
      <c r="A71">
        <f t="shared" si="1011"/>
        <v>65</v>
      </c>
      <c r="B71">
        <v>2.4900321457140446</v>
      </c>
      <c r="C71">
        <f t="shared" si="1012"/>
        <v>12.3570455852348</v>
      </c>
      <c r="E71">
        <f t="shared" si="1013"/>
        <v>66</v>
      </c>
      <c r="F71" t="e">
        <f t="shared" si="1003"/>
        <v>#NAME?</v>
      </c>
      <c r="G71" t="e">
        <f t="shared" si="1014"/>
        <v>#NAME?</v>
      </c>
      <c r="W71">
        <f t="shared" si="1005"/>
        <v>66</v>
      </c>
      <c r="X71" t="e">
        <f t="shared" si="1006"/>
        <v>#NAME?</v>
      </c>
      <c r="Y71" t="e">
        <f t="shared" si="1007"/>
        <v>#NAME?</v>
      </c>
      <c r="Z71" t="e">
        <f t="shared" si="1008"/>
        <v>#NAME?</v>
      </c>
      <c r="AA71" t="e">
        <f t="shared" si="1017"/>
        <v>#NAME?</v>
      </c>
      <c r="AB71" t="e">
        <f t="shared" si="1009"/>
        <v>#NAME?</v>
      </c>
      <c r="AC71" t="e">
        <f t="shared" si="1010"/>
        <v>#NAME?</v>
      </c>
      <c r="AE71">
        <f t="shared" si="1015"/>
        <v>66</v>
      </c>
      <c r="AF71">
        <f t="shared" si="1004"/>
        <v>10.923604414101201</v>
      </c>
    </row>
    <row r="72">
      <c r="A72">
        <f t="shared" si="1011"/>
        <v>66</v>
      </c>
      <c r="B72">
        <v>-0.22832106642044353</v>
      </c>
      <c r="C72">
        <f t="shared" si="1012"/>
        <v>10.923604414101201</v>
      </c>
      <c r="E72">
        <f t="shared" si="1013"/>
        <v>67</v>
      </c>
      <c r="F72" t="e">
        <f t="shared" si="1003"/>
        <v>#NAME?</v>
      </c>
      <c r="G72" t="e">
        <f t="shared" si="1014"/>
        <v>#NAME?</v>
      </c>
      <c r="W72">
        <f t="shared" si="1005"/>
        <v>67</v>
      </c>
      <c r="X72" t="e">
        <f t="shared" si="1006"/>
        <v>#NAME?</v>
      </c>
      <c r="Y72" t="e">
        <f t="shared" si="1007"/>
        <v>#NAME?</v>
      </c>
      <c r="Z72" t="e">
        <f t="shared" si="1008"/>
        <v>#NAME?</v>
      </c>
      <c r="AA72" t="e">
        <f t="shared" si="1017"/>
        <v>#NAME?</v>
      </c>
      <c r="AB72" t="e">
        <f t="shared" si="1009"/>
        <v>#NAME?</v>
      </c>
      <c r="AC72" t="e">
        <f t="shared" si="1010"/>
        <v>#NAME?</v>
      </c>
      <c r="AE72">
        <f t="shared" si="1015"/>
        <v>67</v>
      </c>
      <c r="AF72">
        <f t="shared" si="1004"/>
        <v>9.7007658466066502</v>
      </c>
    </row>
    <row r="73">
      <c r="A73">
        <f t="shared" si="1011"/>
        <v>67</v>
      </c>
      <c r="B73">
        <v>-0.99142145654823755</v>
      </c>
      <c r="C73">
        <f t="shared" si="1012"/>
        <v>9.7007658466066502</v>
      </c>
      <c r="E73">
        <f t="shared" si="1013"/>
        <v>68</v>
      </c>
      <c r="F73" t="e">
        <f t="shared" ref="F73:F98" si="1018">C74-K$7</f>
        <v>#NAME?</v>
      </c>
      <c r="G73" t="e">
        <f t="shared" si="1014"/>
        <v>#NAME?</v>
      </c>
      <c r="W73">
        <f t="shared" si="1005"/>
        <v>68</v>
      </c>
      <c r="X73" t="e">
        <f t="shared" si="1006"/>
        <v>#NAME?</v>
      </c>
      <c r="Y73" t="e">
        <f t="shared" si="1007"/>
        <v>#NAME?</v>
      </c>
      <c r="Z73" t="e">
        <f t="shared" si="1008"/>
        <v>#NAME?</v>
      </c>
      <c r="AA73" t="e">
        <f t="shared" si="1017"/>
        <v>#NAME?</v>
      </c>
      <c r="AB73" t="e">
        <f t="shared" si="1009"/>
        <v>#NAME?</v>
      </c>
      <c r="AC73" t="e">
        <f t="shared" si="1010"/>
        <v>#NAME?</v>
      </c>
      <c r="AE73">
        <f t="shared" si="1015"/>
        <v>68</v>
      </c>
      <c r="AF73">
        <f t="shared" ref="AF73:AF98" si="1019">C74</f>
        <v>10.2741610647141</v>
      </c>
    </row>
    <row r="74">
      <c r="A74">
        <f t="shared" si="1011"/>
        <v>68</v>
      </c>
      <c r="B74">
        <v>0.28534068077982994</v>
      </c>
      <c r="C74">
        <f t="shared" si="1012"/>
        <v>10.2741610647141</v>
      </c>
      <c r="E74">
        <f t="shared" si="1013"/>
        <v>69</v>
      </c>
      <c r="F74" t="e">
        <f t="shared" si="1018"/>
        <v>#NAME?</v>
      </c>
      <c r="G74" t="e">
        <f t="shared" si="1014"/>
        <v>#NAME?</v>
      </c>
      <c r="W74">
        <f t="shared" ref="W74:W99" si="1020">E74</f>
        <v>69</v>
      </c>
      <c r="X74" t="e">
        <f t="shared" ref="X74:X99" si="1021">F74</f>
        <v>#NAME?</v>
      </c>
      <c r="Y74" t="e">
        <f t="shared" ref="Y74:Y99" si="1022">G74</f>
        <v>#NAME?</v>
      </c>
      <c r="Z74" t="e">
        <f t="shared" ref="Z74:Z99" si="1023">X74-Y74</f>
        <v>#NAME?</v>
      </c>
      <c r="AA74" t="e">
        <f t="shared" si="1017"/>
        <v>#NAME?</v>
      </c>
      <c r="AB74" t="e">
        <f t="shared" ref="AB74:AB99" si="1024">Z74-NORMSINV(1-AA$4/2)*AA74</f>
        <v>#NAME?</v>
      </c>
      <c r="AC74" t="e">
        <f t="shared" ref="AC74:AC99" si="1025">Z74+NORMSINV(1-AA$4/2)*AA74</f>
        <v>#NAME?</v>
      </c>
      <c r="AE74">
        <f t="shared" si="1015"/>
        <v>69</v>
      </c>
      <c r="AF74">
        <f t="shared" si="1019"/>
        <v>9.7560808735560496</v>
      </c>
    </row>
    <row r="75">
      <c r="A75">
        <f t="shared" ref="A75:A100" si="1026">A74+1</f>
        <v>69</v>
      </c>
      <c r="B75">
        <v>-0.37876373558789128</v>
      </c>
      <c r="C75">
        <f t="shared" ref="C75:C99" si="1027">3+0.7*C74+B75-0.2*B74</f>
        <v>9.7560808735560496</v>
      </c>
      <c r="E75">
        <f t="shared" ref="E75:E100" si="1028">E74+1</f>
        <v>70</v>
      </c>
      <c r="F75" t="e">
        <f t="shared" si="1018"/>
        <v>#NAME?</v>
      </c>
      <c r="G75" t="e">
        <f t="shared" ref="G75:G99" si="1029">F75-SUMPRODUCT(F74,J$6)-SUMPRODUCT(G74,K$6)</f>
        <v>#NAME?</v>
      </c>
      <c r="W75">
        <f t="shared" si="1020"/>
        <v>70</v>
      </c>
      <c r="X75" t="e">
        <f t="shared" si="1021"/>
        <v>#NAME?</v>
      </c>
      <c r="Y75" t="e">
        <f t="shared" si="1022"/>
        <v>#NAME?</v>
      </c>
      <c r="Z75" t="e">
        <f t="shared" si="1023"/>
        <v>#NAME?</v>
      </c>
      <c r="AA75" t="e">
        <f t="shared" si="1017"/>
        <v>#NAME?</v>
      </c>
      <c r="AB75" t="e">
        <f t="shared" si="1024"/>
        <v>#NAME?</v>
      </c>
      <c r="AC75" t="e">
        <f t="shared" si="1025"/>
        <v>#NAME?</v>
      </c>
      <c r="AE75">
        <f t="shared" ref="AE75:AE100" si="1030">AE74+1</f>
        <v>70</v>
      </c>
      <c r="AF75">
        <f t="shared" si="1019"/>
        <v>9.2877318420516204</v>
      </c>
    </row>
    <row r="76">
      <c r="A76">
        <f t="shared" si="1026"/>
        <v>70</v>
      </c>
      <c r="B76">
        <v>-0.6172775165552018</v>
      </c>
      <c r="C76">
        <f t="shared" si="1027"/>
        <v>9.2877318420516204</v>
      </c>
      <c r="E76">
        <f t="shared" si="1028"/>
        <v>71</v>
      </c>
      <c r="F76" t="e">
        <f t="shared" si="1018"/>
        <v>#NAME?</v>
      </c>
      <c r="G76" t="e">
        <f t="shared" si="1029"/>
        <v>#NAME?</v>
      </c>
      <c r="W76">
        <f t="shared" si="1020"/>
        <v>71</v>
      </c>
      <c r="X76" t="e">
        <f t="shared" si="1021"/>
        <v>#NAME?</v>
      </c>
      <c r="Y76" t="e">
        <f t="shared" si="1022"/>
        <v>#NAME?</v>
      </c>
      <c r="Z76" t="e">
        <f t="shared" si="1023"/>
        <v>#NAME?</v>
      </c>
      <c r="AA76" t="e">
        <f t="shared" si="1017"/>
        <v>#NAME?</v>
      </c>
      <c r="AB76" t="e">
        <f t="shared" si="1024"/>
        <v>#NAME?</v>
      </c>
      <c r="AC76" t="e">
        <f t="shared" si="1025"/>
        <v>#NAME?</v>
      </c>
      <c r="AE76">
        <f t="shared" si="1030"/>
        <v>71</v>
      </c>
      <c r="AF76">
        <f t="shared" si="1019"/>
        <v>8.7948076969057993</v>
      </c>
    </row>
    <row r="77">
      <c r="A77">
        <f t="shared" si="1026"/>
        <v>71</v>
      </c>
      <c r="B77">
        <v>-0.83006009584136975</v>
      </c>
      <c r="C77">
        <f t="shared" si="1027"/>
        <v>8.7948076969057993</v>
      </c>
      <c r="E77">
        <f t="shared" si="1028"/>
        <v>72</v>
      </c>
      <c r="F77" t="e">
        <f t="shared" si="1018"/>
        <v>#NAME?</v>
      </c>
      <c r="G77" t="e">
        <f t="shared" si="1029"/>
        <v>#NAME?</v>
      </c>
      <c r="W77">
        <f t="shared" si="1020"/>
        <v>72</v>
      </c>
      <c r="X77" t="e">
        <f t="shared" si="1021"/>
        <v>#NAME?</v>
      </c>
      <c r="Y77" t="e">
        <f t="shared" si="1022"/>
        <v>#NAME?</v>
      </c>
      <c r="Z77" t="e">
        <f t="shared" si="1023"/>
        <v>#NAME?</v>
      </c>
      <c r="AA77" t="e">
        <f t="shared" si="1017"/>
        <v>#NAME?</v>
      </c>
      <c r="AB77" t="e">
        <f t="shared" si="1024"/>
        <v>#NAME?</v>
      </c>
      <c r="AC77" t="e">
        <f t="shared" si="1025"/>
        <v>#NAME?</v>
      </c>
      <c r="AE77">
        <f t="shared" si="1030"/>
        <v>72</v>
      </c>
      <c r="AF77">
        <f t="shared" si="1019"/>
        <v>9.9521659452576792</v>
      </c>
    </row>
    <row r="78">
      <c r="A78">
        <f t="shared" si="1026"/>
        <v>72</v>
      </c>
      <c r="B78">
        <v>0.62978853825533521</v>
      </c>
      <c r="C78">
        <f t="shared" si="1027"/>
        <v>9.9521659452576792</v>
      </c>
      <c r="E78">
        <f t="shared" si="1028"/>
        <v>73</v>
      </c>
      <c r="F78" t="e">
        <f t="shared" si="1018"/>
        <v>#NAME?</v>
      </c>
      <c r="G78" t="e">
        <f t="shared" si="1029"/>
        <v>#NAME?</v>
      </c>
      <c r="W78">
        <f t="shared" si="1020"/>
        <v>73</v>
      </c>
      <c r="X78" t="e">
        <f t="shared" si="1021"/>
        <v>#NAME?</v>
      </c>
      <c r="Y78" t="e">
        <f t="shared" si="1022"/>
        <v>#NAME?</v>
      </c>
      <c r="Z78" t="e">
        <f t="shared" si="1023"/>
        <v>#NAME?</v>
      </c>
      <c r="AA78" t="e">
        <f t="shared" si="1017"/>
        <v>#NAME?</v>
      </c>
      <c r="AB78" t="e">
        <f t="shared" si="1024"/>
        <v>#NAME?</v>
      </c>
      <c r="AC78" t="e">
        <f t="shared" si="1025"/>
        <v>#NAME?</v>
      </c>
      <c r="AE78">
        <f t="shared" si="1030"/>
        <v>73</v>
      </c>
      <c r="AF78">
        <f t="shared" si="1019"/>
        <v>9.1465177932835804</v>
      </c>
    </row>
    <row r="79">
      <c r="A79">
        <f t="shared" si="1026"/>
        <v>73</v>
      </c>
      <c r="B79">
        <v>-0.694040660745746</v>
      </c>
      <c r="C79">
        <f t="shared" si="1027"/>
        <v>9.1465177932835804</v>
      </c>
      <c r="E79">
        <f t="shared" si="1028"/>
        <v>74</v>
      </c>
      <c r="F79" t="e">
        <f t="shared" si="1018"/>
        <v>#NAME?</v>
      </c>
      <c r="G79" t="e">
        <f t="shared" si="1029"/>
        <v>#NAME?</v>
      </c>
      <c r="W79">
        <f t="shared" si="1020"/>
        <v>74</v>
      </c>
      <c r="X79" t="e">
        <f t="shared" si="1021"/>
        <v>#NAME?</v>
      </c>
      <c r="Y79" t="e">
        <f t="shared" si="1022"/>
        <v>#NAME?</v>
      </c>
      <c r="Z79" t="e">
        <f t="shared" si="1023"/>
        <v>#NAME?</v>
      </c>
      <c r="AA79" t="e">
        <f t="shared" si="1017"/>
        <v>#NAME?</v>
      </c>
      <c r="AB79" t="e">
        <f t="shared" si="1024"/>
        <v>#NAME?</v>
      </c>
      <c r="AC79" t="e">
        <f t="shared" si="1025"/>
        <v>#NAME?</v>
      </c>
      <c r="AE79">
        <f t="shared" si="1030"/>
        <v>74</v>
      </c>
      <c r="AF79">
        <f t="shared" si="1019"/>
        <v>8.4120728228095007</v>
      </c>
    </row>
    <row r="80">
      <c r="A80">
        <f t="shared" si="1026"/>
        <v>74</v>
      </c>
      <c r="B80">
        <v>-1.129297764638155</v>
      </c>
      <c r="C80">
        <f t="shared" si="1027"/>
        <v>8.4120728228095007</v>
      </c>
      <c r="E80">
        <f t="shared" si="1028"/>
        <v>75</v>
      </c>
      <c r="F80" t="e">
        <f t="shared" si="1018"/>
        <v>#NAME?</v>
      </c>
      <c r="G80" t="e">
        <f t="shared" si="1029"/>
        <v>#NAME?</v>
      </c>
      <c r="W80">
        <f t="shared" si="1020"/>
        <v>75</v>
      </c>
      <c r="X80" t="e">
        <f t="shared" si="1021"/>
        <v>#NAME?</v>
      </c>
      <c r="Y80" t="e">
        <f t="shared" si="1022"/>
        <v>#NAME?</v>
      </c>
      <c r="Z80" t="e">
        <f t="shared" si="1023"/>
        <v>#NAME?</v>
      </c>
      <c r="AA80" t="e">
        <f t="shared" si="1017"/>
        <v>#NAME?</v>
      </c>
      <c r="AB80" t="e">
        <f t="shared" si="1024"/>
        <v>#NAME?</v>
      </c>
      <c r="AC80" t="e">
        <f t="shared" si="1025"/>
        <v>#NAME?</v>
      </c>
      <c r="AE80">
        <f t="shared" si="1030"/>
        <v>75</v>
      </c>
      <c r="AF80">
        <f t="shared" si="1019"/>
        <v>9.7238473406247703</v>
      </c>
    </row>
    <row r="81">
      <c r="A81">
        <f t="shared" si="1026"/>
        <v>75</v>
      </c>
      <c r="B81">
        <v>0.6095368117304879</v>
      </c>
      <c r="C81">
        <f t="shared" si="1027"/>
        <v>9.7238473406247703</v>
      </c>
      <c r="E81">
        <f t="shared" si="1028"/>
        <v>76</v>
      </c>
      <c r="F81" t="e">
        <f t="shared" si="1018"/>
        <v>#NAME?</v>
      </c>
      <c r="G81" t="e">
        <f t="shared" si="1029"/>
        <v>#NAME?</v>
      </c>
      <c r="W81">
        <f t="shared" si="1020"/>
        <v>76</v>
      </c>
      <c r="X81" t="e">
        <f t="shared" si="1021"/>
        <v>#NAME?</v>
      </c>
      <c r="Y81" t="e">
        <f t="shared" si="1022"/>
        <v>#NAME?</v>
      </c>
      <c r="Z81" t="e">
        <f t="shared" si="1023"/>
        <v>#NAME?</v>
      </c>
      <c r="AA81" t="e">
        <f t="shared" si="1017"/>
        <v>#NAME?</v>
      </c>
      <c r="AB81" t="e">
        <f t="shared" si="1024"/>
        <v>#NAME?</v>
      </c>
      <c r="AC81" t="e">
        <f t="shared" si="1025"/>
        <v>#NAME?</v>
      </c>
      <c r="AE81">
        <f t="shared" si="1030"/>
        <v>76</v>
      </c>
      <c r="AF81">
        <f t="shared" si="1019"/>
        <v>8.4487887533606099</v>
      </c>
    </row>
    <row r="82">
      <c r="A82">
        <f t="shared" si="1026"/>
        <v>76</v>
      </c>
      <c r="B82">
        <v>-1.2359970227306327</v>
      </c>
      <c r="C82">
        <f t="shared" si="1027"/>
        <v>8.4487887533606099</v>
      </c>
      <c r="E82">
        <f t="shared" si="1028"/>
        <v>77</v>
      </c>
      <c r="F82" t="e">
        <f t="shared" si="1018"/>
        <v>#NAME?</v>
      </c>
      <c r="G82" t="e">
        <f t="shared" si="1029"/>
        <v>#NAME?</v>
      </c>
      <c r="W82">
        <f t="shared" si="1020"/>
        <v>77</v>
      </c>
      <c r="X82" t="e">
        <f t="shared" si="1021"/>
        <v>#NAME?</v>
      </c>
      <c r="Y82" t="e">
        <f t="shared" si="1022"/>
        <v>#NAME?</v>
      </c>
      <c r="Z82" t="e">
        <f t="shared" si="1023"/>
        <v>#NAME?</v>
      </c>
      <c r="AA82" t="e">
        <f t="shared" si="1017"/>
        <v>#NAME?</v>
      </c>
      <c r="AB82" t="e">
        <f t="shared" si="1024"/>
        <v>#NAME?</v>
      </c>
      <c r="AC82" t="e">
        <f t="shared" si="1025"/>
        <v>#NAME?</v>
      </c>
      <c r="AE82">
        <f t="shared" si="1030"/>
        <v>77</v>
      </c>
      <c r="AF82">
        <f t="shared" si="1019"/>
        <v>9.3091696279859093</v>
      </c>
    </row>
    <row r="83">
      <c r="A83">
        <f t="shared" si="1026"/>
        <v>77</v>
      </c>
      <c r="B83">
        <v>0.14781809608735161</v>
      </c>
      <c r="C83">
        <f t="shared" si="1027"/>
        <v>9.3091696279859093</v>
      </c>
      <c r="E83">
        <f t="shared" si="1028"/>
        <v>78</v>
      </c>
      <c r="F83" t="e">
        <f t="shared" si="1018"/>
        <v>#NAME?</v>
      </c>
      <c r="G83" t="e">
        <f t="shared" si="1029"/>
        <v>#NAME?</v>
      </c>
      <c r="W83">
        <f t="shared" si="1020"/>
        <v>78</v>
      </c>
      <c r="X83" t="e">
        <f t="shared" si="1021"/>
        <v>#NAME?</v>
      </c>
      <c r="Y83" t="e">
        <f t="shared" si="1022"/>
        <v>#NAME?</v>
      </c>
      <c r="Z83" t="e">
        <f t="shared" si="1023"/>
        <v>#NAME?</v>
      </c>
      <c r="AA83" t="e">
        <f t="shared" si="1017"/>
        <v>#NAME?</v>
      </c>
      <c r="AB83" t="e">
        <f t="shared" si="1024"/>
        <v>#NAME?</v>
      </c>
      <c r="AC83" t="e">
        <f t="shared" si="1025"/>
        <v>#NAME?</v>
      </c>
      <c r="AE83">
        <f t="shared" si="1030"/>
        <v>78</v>
      </c>
      <c r="AF83">
        <f t="shared" si="1019"/>
        <v>9.6290950722323903</v>
      </c>
    </row>
    <row r="84">
      <c r="A84">
        <f t="shared" si="1026"/>
        <v>78</v>
      </c>
      <c r="B84">
        <v>0.14223995185972241</v>
      </c>
      <c r="C84">
        <f t="shared" si="1027"/>
        <v>9.6290950722323903</v>
      </c>
      <c r="E84">
        <f t="shared" si="1028"/>
        <v>79</v>
      </c>
      <c r="F84" t="e">
        <f t="shared" si="1018"/>
        <v>#NAME?</v>
      </c>
      <c r="G84" t="e">
        <f t="shared" si="1029"/>
        <v>#NAME?</v>
      </c>
      <c r="W84">
        <f t="shared" si="1020"/>
        <v>79</v>
      </c>
      <c r="X84" t="e">
        <f t="shared" si="1021"/>
        <v>#NAME?</v>
      </c>
      <c r="Y84" t="e">
        <f t="shared" si="1022"/>
        <v>#NAME?</v>
      </c>
      <c r="Z84" t="e">
        <f t="shared" si="1023"/>
        <v>#NAME?</v>
      </c>
      <c r="AA84" t="e">
        <f t="shared" si="1017"/>
        <v>#NAME?</v>
      </c>
      <c r="AB84" t="e">
        <f t="shared" si="1024"/>
        <v>#NAME?</v>
      </c>
      <c r="AC84" t="e">
        <f t="shared" si="1025"/>
        <v>#NAME?</v>
      </c>
      <c r="AE84">
        <f t="shared" si="1030"/>
        <v>79</v>
      </c>
      <c r="AF84">
        <f t="shared" si="1019"/>
        <v>10.4987543421216</v>
      </c>
    </row>
    <row r="85">
      <c r="A85">
        <f t="shared" si="1026"/>
        <v>79</v>
      </c>
      <c r="B85">
        <v>0.78683578193082893</v>
      </c>
      <c r="C85">
        <f t="shared" si="1027"/>
        <v>10.4987543421216</v>
      </c>
      <c r="E85">
        <f t="shared" si="1028"/>
        <v>80</v>
      </c>
      <c r="F85" t="e">
        <f t="shared" si="1018"/>
        <v>#NAME?</v>
      </c>
      <c r="G85" t="e">
        <f t="shared" si="1029"/>
        <v>#NAME?</v>
      </c>
      <c r="W85">
        <f t="shared" si="1020"/>
        <v>80</v>
      </c>
      <c r="X85" t="e">
        <f t="shared" si="1021"/>
        <v>#NAME?</v>
      </c>
      <c r="Y85" t="e">
        <f t="shared" si="1022"/>
        <v>#NAME?</v>
      </c>
      <c r="Z85" t="e">
        <f t="shared" si="1023"/>
        <v>#NAME?</v>
      </c>
      <c r="AA85" t="e">
        <f t="shared" si="1017"/>
        <v>#NAME?</v>
      </c>
      <c r="AB85" t="e">
        <f t="shared" si="1024"/>
        <v>#NAME?</v>
      </c>
      <c r="AC85" t="e">
        <f t="shared" si="1025"/>
        <v>#NAME?</v>
      </c>
      <c r="AE85">
        <f t="shared" si="1030"/>
        <v>80</v>
      </c>
      <c r="AF85">
        <f t="shared" si="1019"/>
        <v>8.1345560346257795</v>
      </c>
    </row>
    <row r="86">
      <c r="A86">
        <f t="shared" si="1026"/>
        <v>80</v>
      </c>
      <c r="B86">
        <v>-2.0572048484731567</v>
      </c>
      <c r="C86">
        <f t="shared" si="1027"/>
        <v>8.1345560346257795</v>
      </c>
      <c r="E86">
        <f t="shared" si="1028"/>
        <v>81</v>
      </c>
      <c r="F86" t="e">
        <f t="shared" si="1018"/>
        <v>#NAME?</v>
      </c>
      <c r="G86" t="e">
        <f t="shared" si="1029"/>
        <v>#NAME?</v>
      </c>
      <c r="W86">
        <f t="shared" si="1020"/>
        <v>81</v>
      </c>
      <c r="X86" t="e">
        <f t="shared" si="1021"/>
        <v>#NAME?</v>
      </c>
      <c r="Y86" t="e">
        <f t="shared" si="1022"/>
        <v>#NAME?</v>
      </c>
      <c r="Z86" t="e">
        <f t="shared" si="1023"/>
        <v>#NAME?</v>
      </c>
      <c r="AA86" t="e">
        <f t="shared" si="1017"/>
        <v>#NAME?</v>
      </c>
      <c r="AB86" t="e">
        <f t="shared" si="1024"/>
        <v>#NAME?</v>
      </c>
      <c r="AC86" t="e">
        <f t="shared" si="1025"/>
        <v>#NAME?</v>
      </c>
      <c r="AE86">
        <f t="shared" si="1030"/>
        <v>81</v>
      </c>
      <c r="AF86">
        <f t="shared" si="1019"/>
        <v>9.1551835623632503</v>
      </c>
    </row>
    <row r="87">
      <c r="A87">
        <f t="shared" si="1026"/>
        <v>81</v>
      </c>
      <c r="B87">
        <v>4.9553368430570136e-02</v>
      </c>
      <c r="C87">
        <f t="shared" si="1027"/>
        <v>9.1551835623632503</v>
      </c>
      <c r="E87">
        <f t="shared" si="1028"/>
        <v>82</v>
      </c>
      <c r="F87" t="e">
        <f t="shared" si="1018"/>
        <v>#NAME?</v>
      </c>
      <c r="G87" t="e">
        <f t="shared" si="1029"/>
        <v>#NAME?</v>
      </c>
      <c r="W87">
        <f t="shared" si="1020"/>
        <v>82</v>
      </c>
      <c r="X87" t="e">
        <f t="shared" si="1021"/>
        <v>#NAME?</v>
      </c>
      <c r="Y87" t="e">
        <f t="shared" si="1022"/>
        <v>#NAME?</v>
      </c>
      <c r="Z87" t="e">
        <f t="shared" si="1023"/>
        <v>#NAME?</v>
      </c>
      <c r="AA87" t="e">
        <f t="shared" si="1017"/>
        <v>#NAME?</v>
      </c>
      <c r="AB87" t="e">
        <f t="shared" si="1024"/>
        <v>#NAME?</v>
      </c>
      <c r="AC87" t="e">
        <f t="shared" si="1025"/>
        <v>#NAME?</v>
      </c>
      <c r="AE87">
        <f t="shared" si="1030"/>
        <v>82</v>
      </c>
      <c r="AF87">
        <f t="shared" si="1019"/>
        <v>7.9920854400738701</v>
      </c>
    </row>
    <row r="88">
      <c r="A88">
        <f t="shared" si="1026"/>
        <v>82</v>
      </c>
      <c r="B88">
        <v>-1.4066323798943019</v>
      </c>
      <c r="C88">
        <f t="shared" si="1027"/>
        <v>7.9920854400738701</v>
      </c>
      <c r="E88">
        <f t="shared" si="1028"/>
        <v>83</v>
      </c>
      <c r="F88" t="e">
        <f t="shared" si="1018"/>
        <v>#NAME?</v>
      </c>
      <c r="G88" t="e">
        <f t="shared" si="1029"/>
        <v>#NAME?</v>
      </c>
      <c r="W88">
        <f t="shared" si="1020"/>
        <v>83</v>
      </c>
      <c r="X88" t="e">
        <f t="shared" si="1021"/>
        <v>#NAME?</v>
      </c>
      <c r="Y88" t="e">
        <f t="shared" si="1022"/>
        <v>#NAME?</v>
      </c>
      <c r="Z88" t="e">
        <f t="shared" si="1023"/>
        <v>#NAME?</v>
      </c>
      <c r="AA88" t="e">
        <f t="shared" si="1017"/>
        <v>#NAME?</v>
      </c>
      <c r="AB88" t="e">
        <f t="shared" si="1024"/>
        <v>#NAME?</v>
      </c>
      <c r="AC88" t="e">
        <f t="shared" si="1025"/>
        <v>#NAME?</v>
      </c>
      <c r="AE88">
        <f t="shared" si="1030"/>
        <v>83</v>
      </c>
      <c r="AF88">
        <f t="shared" si="1019"/>
        <v>10.4395269966694</v>
      </c>
    </row>
    <row r="89">
      <c r="A89">
        <f t="shared" si="1026"/>
        <v>83</v>
      </c>
      <c r="B89">
        <v>1.5637407126388041</v>
      </c>
      <c r="C89">
        <f t="shared" si="1027"/>
        <v>10.4395269966694</v>
      </c>
      <c r="E89">
        <f t="shared" si="1028"/>
        <v>84</v>
      </c>
      <c r="F89" t="e">
        <f t="shared" si="1018"/>
        <v>#NAME?</v>
      </c>
      <c r="G89" t="e">
        <f t="shared" si="1029"/>
        <v>#NAME?</v>
      </c>
      <c r="W89">
        <f t="shared" si="1020"/>
        <v>84</v>
      </c>
      <c r="X89" t="e">
        <f t="shared" si="1021"/>
        <v>#NAME?</v>
      </c>
      <c r="Y89" t="e">
        <f t="shared" si="1022"/>
        <v>#NAME?</v>
      </c>
      <c r="Z89" t="e">
        <f t="shared" si="1023"/>
        <v>#NAME?</v>
      </c>
      <c r="AA89" t="e">
        <f t="shared" si="1017"/>
        <v>#NAME?</v>
      </c>
      <c r="AB89" t="e">
        <f t="shared" si="1024"/>
        <v>#NAME?</v>
      </c>
      <c r="AC89" t="e">
        <f t="shared" si="1025"/>
        <v>#NAME?</v>
      </c>
      <c r="AE89">
        <f t="shared" si="1030"/>
        <v>84</v>
      </c>
      <c r="AF89">
        <f t="shared" si="1019"/>
        <v>11.175252728421899</v>
      </c>
    </row>
    <row r="90">
      <c r="A90">
        <f t="shared" si="1026"/>
        <v>84</v>
      </c>
      <c r="B90">
        <v>1.1803319732811373</v>
      </c>
      <c r="C90">
        <f t="shared" si="1027"/>
        <v>11.175252728421899</v>
      </c>
      <c r="E90">
        <f t="shared" si="1028"/>
        <v>85</v>
      </c>
      <c r="F90" t="e">
        <f t="shared" si="1018"/>
        <v>#NAME?</v>
      </c>
      <c r="G90" t="e">
        <f t="shared" si="1029"/>
        <v>#NAME?</v>
      </c>
      <c r="W90">
        <f t="shared" si="1020"/>
        <v>85</v>
      </c>
      <c r="X90" t="e">
        <f t="shared" si="1021"/>
        <v>#NAME?</v>
      </c>
      <c r="Y90" t="e">
        <f t="shared" si="1022"/>
        <v>#NAME?</v>
      </c>
      <c r="Z90" t="e">
        <f t="shared" si="1023"/>
        <v>#NAME?</v>
      </c>
      <c r="AA90" t="e">
        <f t="shared" si="1017"/>
        <v>#NAME?</v>
      </c>
      <c r="AB90" t="e">
        <f t="shared" si="1024"/>
        <v>#NAME?</v>
      </c>
      <c r="AC90" t="e">
        <f t="shared" si="1025"/>
        <v>#NAME?</v>
      </c>
      <c r="AE90">
        <f t="shared" si="1030"/>
        <v>85</v>
      </c>
      <c r="AF90">
        <f t="shared" si="1019"/>
        <v>9.9215034890634701</v>
      </c>
    </row>
    <row r="91">
      <c r="A91">
        <f t="shared" si="1026"/>
        <v>85</v>
      </c>
      <c r="B91">
        <v>-0.6651070261756501</v>
      </c>
      <c r="C91">
        <f t="shared" si="1027"/>
        <v>9.9215034890634701</v>
      </c>
      <c r="E91">
        <f t="shared" si="1028"/>
        <v>86</v>
      </c>
      <c r="F91" t="e">
        <f t="shared" si="1018"/>
        <v>#NAME?</v>
      </c>
      <c r="G91" t="e">
        <f t="shared" si="1029"/>
        <v>#NAME?</v>
      </c>
      <c r="W91">
        <f t="shared" si="1020"/>
        <v>86</v>
      </c>
      <c r="X91" t="e">
        <f t="shared" si="1021"/>
        <v>#NAME?</v>
      </c>
      <c r="Y91" t="e">
        <f t="shared" si="1022"/>
        <v>#NAME?</v>
      </c>
      <c r="Z91" t="e">
        <f t="shared" si="1023"/>
        <v>#NAME?</v>
      </c>
      <c r="AA91" t="e">
        <f t="shared" si="1017"/>
        <v>#NAME?</v>
      </c>
      <c r="AB91" t="e">
        <f t="shared" si="1024"/>
        <v>#NAME?</v>
      </c>
      <c r="AC91" t="e">
        <f t="shared" si="1025"/>
        <v>#NAME?</v>
      </c>
      <c r="AE91">
        <f t="shared" si="1030"/>
        <v>86</v>
      </c>
      <c r="AF91">
        <f t="shared" si="1019"/>
        <v>10.6530188639251</v>
      </c>
    </row>
    <row r="92">
      <c r="A92">
        <f t="shared" si="1026"/>
        <v>86</v>
      </c>
      <c r="B92">
        <v>0.57494501634557915</v>
      </c>
      <c r="C92">
        <f t="shared" si="1027"/>
        <v>10.6530188639251</v>
      </c>
      <c r="E92">
        <f t="shared" si="1028"/>
        <v>87</v>
      </c>
      <c r="F92" t="e">
        <f t="shared" si="1018"/>
        <v>#NAME?</v>
      </c>
      <c r="G92" t="e">
        <f t="shared" si="1029"/>
        <v>#NAME?</v>
      </c>
      <c r="W92">
        <f t="shared" si="1020"/>
        <v>87</v>
      </c>
      <c r="X92" t="e">
        <f t="shared" si="1021"/>
        <v>#NAME?</v>
      </c>
      <c r="Y92" t="e">
        <f t="shared" si="1022"/>
        <v>#NAME?</v>
      </c>
      <c r="Z92" t="e">
        <f t="shared" si="1023"/>
        <v>#NAME?</v>
      </c>
      <c r="AA92" t="e">
        <f t="shared" si="1017"/>
        <v>#NAME?</v>
      </c>
      <c r="AB92" t="e">
        <f t="shared" si="1024"/>
        <v>#NAME?</v>
      </c>
      <c r="AC92" t="e">
        <f t="shared" si="1025"/>
        <v>#NAME?</v>
      </c>
      <c r="AE92">
        <f t="shared" si="1030"/>
        <v>87</v>
      </c>
      <c r="AF92">
        <f t="shared" si="1019"/>
        <v>10.3009650359598</v>
      </c>
    </row>
    <row r="93">
      <c r="A93">
        <f t="shared" si="1026"/>
        <v>87</v>
      </c>
      <c r="B93">
        <v>-4.1159165518735163e-02</v>
      </c>
      <c r="C93">
        <f t="shared" si="1027"/>
        <v>10.3009650359598</v>
      </c>
      <c r="E93">
        <f t="shared" si="1028"/>
        <v>88</v>
      </c>
      <c r="F93" t="e">
        <f t="shared" si="1018"/>
        <v>#NAME?</v>
      </c>
      <c r="G93" t="e">
        <f t="shared" si="1029"/>
        <v>#NAME?</v>
      </c>
      <c r="W93">
        <f t="shared" si="1020"/>
        <v>88</v>
      </c>
      <c r="X93" t="e">
        <f t="shared" si="1021"/>
        <v>#NAME?</v>
      </c>
      <c r="Y93" t="e">
        <f t="shared" si="1022"/>
        <v>#NAME?</v>
      </c>
      <c r="Z93" t="e">
        <f t="shared" si="1023"/>
        <v>#NAME?</v>
      </c>
      <c r="AA93" t="e">
        <f t="shared" si="1017"/>
        <v>#NAME?</v>
      </c>
      <c r="AB93" t="e">
        <f t="shared" si="1024"/>
        <v>#NAME?</v>
      </c>
      <c r="AC93" t="e">
        <f t="shared" si="1025"/>
        <v>#NAME?</v>
      </c>
      <c r="AE93">
        <f t="shared" si="1030"/>
        <v>88</v>
      </c>
      <c r="AF93">
        <f t="shared" si="1019"/>
        <v>9.3227116420405398</v>
      </c>
    </row>
    <row r="94">
      <c r="A94">
        <f t="shared" si="1026"/>
        <v>88</v>
      </c>
      <c r="B94">
        <v>-0.89619571623511651</v>
      </c>
      <c r="C94">
        <f t="shared" si="1027"/>
        <v>9.3227116420405398</v>
      </c>
      <c r="E94">
        <f t="shared" si="1028"/>
        <v>89</v>
      </c>
      <c r="F94" t="e">
        <f t="shared" si="1018"/>
        <v>#NAME?</v>
      </c>
      <c r="G94" t="e">
        <f t="shared" si="1029"/>
        <v>#NAME?</v>
      </c>
      <c r="W94">
        <f t="shared" si="1020"/>
        <v>89</v>
      </c>
      <c r="X94" t="e">
        <f t="shared" si="1021"/>
        <v>#NAME?</v>
      </c>
      <c r="Y94" t="e">
        <f t="shared" si="1022"/>
        <v>#NAME?</v>
      </c>
      <c r="Z94" t="e">
        <f t="shared" si="1023"/>
        <v>#NAME?</v>
      </c>
      <c r="AA94" t="e">
        <f t="shared" si="1017"/>
        <v>#NAME?</v>
      </c>
      <c r="AB94" t="e">
        <f t="shared" si="1024"/>
        <v>#NAME?</v>
      </c>
      <c r="AC94" t="e">
        <f t="shared" si="1025"/>
        <v>#NAME?</v>
      </c>
      <c r="AE94">
        <f t="shared" si="1030"/>
        <v>89</v>
      </c>
      <c r="AF94">
        <f t="shared" si="1019"/>
        <v>11.208496897982</v>
      </c>
    </row>
    <row r="95">
      <c r="A95">
        <f t="shared" si="1026"/>
        <v>89</v>
      </c>
      <c r="B95">
        <v>1.503359605306662</v>
      </c>
      <c r="C95">
        <f t="shared" si="1027"/>
        <v>11.208496897982</v>
      </c>
      <c r="E95">
        <f t="shared" si="1028"/>
        <v>90</v>
      </c>
      <c r="F95" t="e">
        <f t="shared" si="1018"/>
        <v>#NAME?</v>
      </c>
      <c r="G95" t="e">
        <f t="shared" si="1029"/>
        <v>#NAME?</v>
      </c>
      <c r="W95">
        <f t="shared" si="1020"/>
        <v>90</v>
      </c>
      <c r="X95" t="e">
        <f t="shared" si="1021"/>
        <v>#NAME?</v>
      </c>
      <c r="Y95" t="e">
        <f t="shared" si="1022"/>
        <v>#NAME?</v>
      </c>
      <c r="Z95" t="e">
        <f t="shared" si="1023"/>
        <v>#NAME?</v>
      </c>
      <c r="AA95" t="e">
        <f t="shared" si="1017"/>
        <v>#NAME?</v>
      </c>
      <c r="AB95" t="e">
        <f t="shared" si="1024"/>
        <v>#NAME?</v>
      </c>
      <c r="AC95" t="e">
        <f t="shared" si="1025"/>
        <v>#NAME?</v>
      </c>
      <c r="AE95">
        <f t="shared" si="1030"/>
        <v>90</v>
      </c>
      <c r="AF95">
        <f t="shared" si="1019"/>
        <v>9.8337122512150703</v>
      </c>
    </row>
    <row r="96">
      <c r="A96">
        <f t="shared" si="1026"/>
        <v>90</v>
      </c>
      <c r="B96">
        <v>-0.71156365631100771</v>
      </c>
      <c r="C96">
        <f t="shared" si="1027"/>
        <v>9.8337122512150703</v>
      </c>
      <c r="E96">
        <f t="shared" si="1028"/>
        <v>91</v>
      </c>
      <c r="F96" t="e">
        <f t="shared" si="1018"/>
        <v>#NAME?</v>
      </c>
      <c r="G96" t="e">
        <f t="shared" si="1029"/>
        <v>#NAME?</v>
      </c>
      <c r="W96">
        <f t="shared" si="1020"/>
        <v>91</v>
      </c>
      <c r="X96" t="e">
        <f t="shared" si="1021"/>
        <v>#NAME?</v>
      </c>
      <c r="Y96" t="e">
        <f t="shared" si="1022"/>
        <v>#NAME?</v>
      </c>
      <c r="Z96" t="e">
        <f t="shared" si="1023"/>
        <v>#NAME?</v>
      </c>
      <c r="AA96" t="e">
        <f t="shared" si="1017"/>
        <v>#NAME?</v>
      </c>
      <c r="AB96" t="e">
        <f t="shared" si="1024"/>
        <v>#NAME?</v>
      </c>
      <c r="AC96" t="e">
        <f t="shared" si="1025"/>
        <v>#NAME?</v>
      </c>
      <c r="AE96">
        <f t="shared" si="1030"/>
        <v>91</v>
      </c>
      <c r="AF96">
        <f t="shared" si="1019"/>
        <v>11.009228904367101</v>
      </c>
    </row>
    <row r="97">
      <c r="A97">
        <f t="shared" si="1026"/>
        <v>91</v>
      </c>
      <c r="B97">
        <v>0.98331759725438272</v>
      </c>
      <c r="C97">
        <f t="shared" si="1027"/>
        <v>11.009228904367101</v>
      </c>
      <c r="E97">
        <f t="shared" si="1028"/>
        <v>92</v>
      </c>
      <c r="F97" t="e">
        <f t="shared" si="1018"/>
        <v>#NAME?</v>
      </c>
      <c r="G97" t="e">
        <f t="shared" si="1029"/>
        <v>#NAME?</v>
      </c>
      <c r="W97">
        <f t="shared" si="1020"/>
        <v>92</v>
      </c>
      <c r="X97" t="e">
        <f t="shared" si="1021"/>
        <v>#NAME?</v>
      </c>
      <c r="Y97" t="e">
        <f t="shared" si="1022"/>
        <v>#NAME?</v>
      </c>
      <c r="Z97" t="e">
        <f t="shared" si="1023"/>
        <v>#NAME?</v>
      </c>
      <c r="AA97" t="e">
        <f t="shared" si="1017"/>
        <v>#NAME?</v>
      </c>
      <c r="AB97" t="e">
        <f t="shared" si="1024"/>
        <v>#NAME?</v>
      </c>
      <c r="AC97" t="e">
        <f t="shared" si="1025"/>
        <v>#NAME?</v>
      </c>
      <c r="AE97">
        <f t="shared" si="1030"/>
        <v>92</v>
      </c>
      <c r="AF97">
        <f t="shared" si="1019"/>
        <v>9.6722116642591693</v>
      </c>
    </row>
    <row r="98">
      <c r="A98">
        <f t="shared" si="1026"/>
        <v>92</v>
      </c>
      <c r="B98">
        <v>-0.83758504934694744</v>
      </c>
      <c r="C98">
        <f t="shared" si="1027"/>
        <v>9.6722116642591693</v>
      </c>
      <c r="E98">
        <f t="shared" si="1028"/>
        <v>93</v>
      </c>
      <c r="F98" t="e">
        <f t="shared" si="1018"/>
        <v>#NAME?</v>
      </c>
      <c r="G98" t="e">
        <f t="shared" si="1029"/>
        <v>#NAME?</v>
      </c>
      <c r="W98">
        <f t="shared" si="1020"/>
        <v>93</v>
      </c>
      <c r="X98" t="e">
        <f t="shared" si="1021"/>
        <v>#NAME?</v>
      </c>
      <c r="Y98" t="e">
        <f t="shared" si="1022"/>
        <v>#NAME?</v>
      </c>
      <c r="Z98" t="e">
        <f t="shared" si="1023"/>
        <v>#NAME?</v>
      </c>
      <c r="AA98" t="e">
        <f t="shared" si="1017"/>
        <v>#NAME?</v>
      </c>
      <c r="AB98" t="e">
        <f t="shared" si="1024"/>
        <v>#NAME?</v>
      </c>
      <c r="AC98" t="e">
        <f t="shared" si="1025"/>
        <v>#NAME?</v>
      </c>
      <c r="AE98">
        <f t="shared" si="1030"/>
        <v>93</v>
      </c>
      <c r="AF98">
        <f t="shared" si="1019"/>
        <v>8.02205516542627</v>
      </c>
    </row>
    <row r="99">
      <c r="A99">
        <f t="shared" si="1026"/>
        <v>93</v>
      </c>
      <c r="B99">
        <v>-1.916010009424536</v>
      </c>
      <c r="C99">
        <f t="shared" si="1027"/>
        <v>8.02205516542627</v>
      </c>
      <c r="E99">
        <f t="shared" si="1028"/>
        <v>94</v>
      </c>
      <c r="F99" t="e">
        <f t="shared" ref="F99:F110" si="1031">C100-K$7</f>
        <v>#NAME?</v>
      </c>
      <c r="G99" t="e">
        <f t="shared" si="1029"/>
        <v>#NAME?</v>
      </c>
      <c r="W99">
        <f t="shared" si="1020"/>
        <v>94</v>
      </c>
      <c r="X99" t="e">
        <f t="shared" si="1021"/>
        <v>#NAME?</v>
      </c>
      <c r="Y99" t="e">
        <f t="shared" si="1022"/>
        <v>#NAME?</v>
      </c>
      <c r="Z99" t="e">
        <f t="shared" si="1023"/>
        <v>#NAME?</v>
      </c>
      <c r="AA99" t="e">
        <f t="shared" si="1017"/>
        <v>#NAME?</v>
      </c>
      <c r="AB99" t="e">
        <f t="shared" si="1024"/>
        <v>#NAME?</v>
      </c>
      <c r="AC99" t="e">
        <f t="shared" si="1025"/>
        <v>#NAME?</v>
      </c>
      <c r="AE99">
        <f t="shared" si="1030"/>
        <v>94</v>
      </c>
      <c r="AF99">
        <f t="shared" ref="AF99:AF110" si="1032">C100</f>
        <v>9.1001604867082904</v>
      </c>
    </row>
    <row r="100">
      <c r="A100">
        <f t="shared" si="1026"/>
        <v>94</v>
      </c>
      <c r="B100">
        <v>0.10151986902498664</v>
      </c>
      <c r="C100">
        <f>3+0.7*C99+B100-0.2*B99</f>
        <v>9.1001604867082904</v>
      </c>
      <c r="E100">
        <f t="shared" si="1028"/>
        <v>95</v>
      </c>
      <c r="F100" t="e">
        <f t="shared" si="1031"/>
        <v>#NAME?</v>
      </c>
      <c r="G100" t="e">
        <f>F100-SUMPRODUCT(F99,J$6)-SUMPRODUCT(G99,K$6)</f>
        <v>#NAME?</v>
      </c>
      <c r="W100">
        <f t="shared" ref="W100:W110" si="1033">E100</f>
        <v>95</v>
      </c>
      <c r="X100" t="e">
        <f t="shared" ref="X100:X110" si="1034">F100</f>
        <v>#NAME?</v>
      </c>
      <c r="Y100" t="e">
        <f t="shared" ref="Y100:Y110" si="1035">G100</f>
        <v>#NAME?</v>
      </c>
      <c r="Z100" t="e">
        <f t="shared" ref="Z100:Z110" si="1036">X100-Y100</f>
        <v>#NAME?</v>
      </c>
      <c r="AA100" t="e">
        <f t="shared" si="1017"/>
        <v>#NAME?</v>
      </c>
      <c r="AB100" t="e">
        <f t="shared" ref="AB100:AB115" si="1037">Z100-NORMSINV(1-AA$4/2)*AA100</f>
        <v>#NAME?</v>
      </c>
      <c r="AC100" t="e">
        <f t="shared" ref="AC100:AC115" si="1038">Z100+NORMSINV(1-AA$4/2)*AA100</f>
        <v>#NAME?</v>
      </c>
      <c r="AE100">
        <f t="shared" si="1030"/>
        <v>95</v>
      </c>
      <c r="AF100">
        <f t="shared" si="1032"/>
        <v>10.2935635698319</v>
      </c>
    </row>
    <row r="101">
      <c r="A101">
        <f t="shared" ref="A101:A111" si="1039">A100+1</f>
        <v>95</v>
      </c>
      <c r="B101">
        <v>0.94375520294114756</v>
      </c>
      <c r="C101">
        <f t="shared" ref="C101:C111" si="1040">3+0.7*C100+B101-0.2*B100</f>
        <v>10.2935635698319</v>
      </c>
      <c r="E101">
        <f t="shared" ref="E101:E110" si="1041">E100+1</f>
        <v>96</v>
      </c>
      <c r="F101" t="e">
        <f t="shared" si="1031"/>
        <v>#NAME?</v>
      </c>
      <c r="G101" t="e">
        <f t="shared" ref="G101:G110" si="1042">F101-SUMPRODUCT(F100,J$6)-SUMPRODUCT(G100,K$6)</f>
        <v>#NAME?</v>
      </c>
      <c r="W101">
        <f t="shared" si="1033"/>
        <v>96</v>
      </c>
      <c r="X101" t="e">
        <f t="shared" si="1034"/>
        <v>#NAME?</v>
      </c>
      <c r="Y101" t="e">
        <f t="shared" si="1035"/>
        <v>#NAME?</v>
      </c>
      <c r="Z101" t="e">
        <f t="shared" si="1036"/>
        <v>#NAME?</v>
      </c>
      <c r="AA101" t="e">
        <f t="shared" si="1017"/>
        <v>#NAME?</v>
      </c>
      <c r="AB101" t="e">
        <f t="shared" si="1037"/>
        <v>#NAME?</v>
      </c>
      <c r="AC101" t="e">
        <f t="shared" si="1038"/>
        <v>#NAME?</v>
      </c>
      <c r="AE101">
        <f t="shared" ref="AE101:AE115" si="1043">AE100+1</f>
        <v>96</v>
      </c>
      <c r="AF101">
        <f t="shared" si="1032"/>
        <v>10.8741378923564</v>
      </c>
    </row>
    <row r="102">
      <c r="A102">
        <f t="shared" si="1039"/>
        <v>96</v>
      </c>
      <c r="B102">
        <v>0.85739443406232341</v>
      </c>
      <c r="C102">
        <f t="shared" si="1040"/>
        <v>10.8741378923564</v>
      </c>
      <c r="E102">
        <f t="shared" si="1041"/>
        <v>97</v>
      </c>
      <c r="F102" t="e">
        <f t="shared" si="1031"/>
        <v>#NAME?</v>
      </c>
      <c r="G102" t="e">
        <f t="shared" si="1042"/>
        <v>#NAME?</v>
      </c>
      <c r="W102">
        <f t="shared" si="1033"/>
        <v>97</v>
      </c>
      <c r="X102" t="e">
        <f t="shared" si="1034"/>
        <v>#NAME?</v>
      </c>
      <c r="Y102" t="e">
        <f t="shared" si="1035"/>
        <v>#NAME?</v>
      </c>
      <c r="Z102" t="e">
        <f t="shared" si="1036"/>
        <v>#NAME?</v>
      </c>
      <c r="AA102" t="e">
        <f t="shared" si="1017"/>
        <v>#NAME?</v>
      </c>
      <c r="AB102" t="e">
        <f t="shared" si="1037"/>
        <v>#NAME?</v>
      </c>
      <c r="AC102" t="e">
        <f t="shared" si="1038"/>
        <v>#NAME?</v>
      </c>
      <c r="AE102">
        <f t="shared" si="1043"/>
        <v>97</v>
      </c>
      <c r="AF102">
        <f t="shared" si="1032"/>
        <v>11.048588930382</v>
      </c>
    </row>
    <row r="103">
      <c r="A103">
        <f t="shared" si="1039"/>
        <v>97</v>
      </c>
      <c r="B103">
        <v>0.60817129254501401</v>
      </c>
      <c r="C103">
        <f t="shared" si="1040"/>
        <v>11.048588930382</v>
      </c>
      <c r="E103">
        <f t="shared" si="1041"/>
        <v>98</v>
      </c>
      <c r="F103" t="e">
        <f t="shared" si="1031"/>
        <v>#NAME?</v>
      </c>
      <c r="G103" t="e">
        <f t="shared" si="1042"/>
        <v>#NAME?</v>
      </c>
      <c r="W103">
        <f t="shared" si="1033"/>
        <v>98</v>
      </c>
      <c r="X103" t="e">
        <f t="shared" si="1034"/>
        <v>#NAME?</v>
      </c>
      <c r="Y103" t="e">
        <f t="shared" si="1035"/>
        <v>#NAME?</v>
      </c>
      <c r="Z103" t="e">
        <f t="shared" si="1036"/>
        <v>#NAME?</v>
      </c>
      <c r="AA103" t="e">
        <f t="shared" si="1017"/>
        <v>#NAME?</v>
      </c>
      <c r="AB103" t="e">
        <f t="shared" si="1037"/>
        <v>#NAME?</v>
      </c>
      <c r="AC103" t="e">
        <f t="shared" si="1038"/>
        <v>#NAME?</v>
      </c>
      <c r="AE103">
        <f t="shared" si="1043"/>
        <v>98</v>
      </c>
      <c r="AF103">
        <f t="shared" si="1032"/>
        <v>10.3771036084058</v>
      </c>
    </row>
    <row r="104">
      <c r="A104">
        <f t="shared" si="1039"/>
        <v>98</v>
      </c>
      <c r="B104">
        <v>-0.23527438435259729</v>
      </c>
      <c r="C104">
        <f t="shared" si="1040"/>
        <v>10.3771036084058</v>
      </c>
      <c r="E104">
        <f t="shared" si="1041"/>
        <v>99</v>
      </c>
      <c r="F104" t="e">
        <f t="shared" si="1031"/>
        <v>#NAME?</v>
      </c>
      <c r="G104" t="e">
        <f t="shared" si="1042"/>
        <v>#NAME?</v>
      </c>
      <c r="W104">
        <f t="shared" si="1033"/>
        <v>99</v>
      </c>
      <c r="X104" t="e">
        <f t="shared" si="1034"/>
        <v>#NAME?</v>
      </c>
      <c r="Y104" t="e">
        <f t="shared" si="1035"/>
        <v>#NAME?</v>
      </c>
      <c r="Z104" t="e">
        <f t="shared" si="1036"/>
        <v>#NAME?</v>
      </c>
      <c r="AA104" t="e">
        <f t="shared" si="1017"/>
        <v>#NAME?</v>
      </c>
      <c r="AB104" t="e">
        <f t="shared" si="1037"/>
        <v>#NAME?</v>
      </c>
      <c r="AC104" t="e">
        <f t="shared" si="1038"/>
        <v>#NAME?</v>
      </c>
      <c r="AE104">
        <f t="shared" si="1043"/>
        <v>99</v>
      </c>
      <c r="AF104">
        <f t="shared" si="1032"/>
        <v>11.100733406475401</v>
      </c>
    </row>
    <row r="105">
      <c r="A105">
        <f t="shared" si="1039"/>
        <v>99</v>
      </c>
      <c r="B105">
        <v>0.78970600372079691</v>
      </c>
      <c r="C105">
        <f t="shared" si="1040"/>
        <v>11.100733406475401</v>
      </c>
      <c r="E105">
        <f t="shared" si="1041"/>
        <v>100</v>
      </c>
      <c r="F105" t="e">
        <f t="shared" si="1031"/>
        <v>#NAME?</v>
      </c>
      <c r="G105" t="e">
        <f t="shared" si="1042"/>
        <v>#NAME?</v>
      </c>
      <c r="W105">
        <f t="shared" si="1033"/>
        <v>100</v>
      </c>
      <c r="X105" t="e">
        <f t="shared" si="1034"/>
        <v>#NAME?</v>
      </c>
      <c r="Y105" t="e">
        <f t="shared" si="1035"/>
        <v>#NAME?</v>
      </c>
      <c r="Z105" t="e">
        <f t="shared" si="1036"/>
        <v>#NAME?</v>
      </c>
      <c r="AA105" t="e">
        <f t="shared" si="1017"/>
        <v>#NAME?</v>
      </c>
      <c r="AB105" t="e">
        <f t="shared" si="1037"/>
        <v>#NAME?</v>
      </c>
      <c r="AC105" t="e">
        <f t="shared" si="1038"/>
        <v>#NAME?</v>
      </c>
      <c r="AE105">
        <f t="shared" si="1043"/>
        <v>100</v>
      </c>
      <c r="AF105">
        <f t="shared" si="1032"/>
        <v>9.5564566897714496</v>
      </c>
    </row>
    <row r="106">
      <c r="A106">
        <f t="shared" si="1039"/>
        <v>100</v>
      </c>
      <c r="B106">
        <v>-1.0561154940171853</v>
      </c>
      <c r="C106">
        <f t="shared" si="1040"/>
        <v>9.5564566897714496</v>
      </c>
      <c r="E106">
        <f t="shared" si="1041"/>
        <v>101</v>
      </c>
      <c r="F106" t="e">
        <f t="shared" si="1031"/>
        <v>#NAME?</v>
      </c>
      <c r="G106" t="e">
        <f t="shared" si="1042"/>
        <v>#NAME?</v>
      </c>
      <c r="W106">
        <f t="shared" si="1033"/>
        <v>101</v>
      </c>
      <c r="X106" t="e">
        <f t="shared" si="1034"/>
        <v>#NAME?</v>
      </c>
      <c r="Y106" t="e">
        <f t="shared" si="1035"/>
        <v>#NAME?</v>
      </c>
      <c r="Z106" t="e">
        <f t="shared" si="1036"/>
        <v>#NAME?</v>
      </c>
      <c r="AA106" t="e">
        <f t="shared" si="1017"/>
        <v>#NAME?</v>
      </c>
      <c r="AB106" t="e">
        <f t="shared" si="1037"/>
        <v>#NAME?</v>
      </c>
      <c r="AC106" t="e">
        <f t="shared" si="1038"/>
        <v>#NAME?</v>
      </c>
      <c r="AE106">
        <f t="shared" si="1043"/>
        <v>101</v>
      </c>
      <c r="AF106">
        <f t="shared" si="1032"/>
        <v>10.126612012197899</v>
      </c>
    </row>
    <row r="107">
      <c r="A107">
        <f t="shared" si="1039"/>
        <v>101</v>
      </c>
      <c r="B107">
        <v>0.22586923055446756</v>
      </c>
      <c r="C107">
        <f t="shared" si="1040"/>
        <v>10.126612012197899</v>
      </c>
      <c r="E107">
        <f t="shared" si="1041"/>
        <v>102</v>
      </c>
      <c r="F107" t="e">
        <f t="shared" si="1031"/>
        <v>#NAME?</v>
      </c>
      <c r="G107" t="e">
        <f t="shared" si="1042"/>
        <v>#NAME?</v>
      </c>
      <c r="W107">
        <f t="shared" si="1033"/>
        <v>102</v>
      </c>
      <c r="X107" t="e">
        <f t="shared" si="1034"/>
        <v>#NAME?</v>
      </c>
      <c r="Y107" t="e">
        <f t="shared" si="1035"/>
        <v>#NAME?</v>
      </c>
      <c r="Z107" t="e">
        <f t="shared" si="1036"/>
        <v>#NAME?</v>
      </c>
      <c r="AA107" t="e">
        <f t="shared" si="1017"/>
        <v>#NAME?</v>
      </c>
      <c r="AB107" t="e">
        <f t="shared" si="1037"/>
        <v>#NAME?</v>
      </c>
      <c r="AC107" t="e">
        <f t="shared" si="1038"/>
        <v>#NAME?</v>
      </c>
      <c r="AE107">
        <f t="shared" si="1043"/>
        <v>102</v>
      </c>
      <c r="AF107">
        <f t="shared" si="1032"/>
        <v>10.6186567997187</v>
      </c>
    </row>
    <row r="108">
      <c r="A108">
        <f t="shared" si="1039"/>
        <v>102</v>
      </c>
      <c r="B108">
        <v>0.57520223729110798</v>
      </c>
      <c r="C108">
        <f t="shared" si="1040"/>
        <v>10.6186567997187</v>
      </c>
      <c r="E108">
        <f t="shared" si="1041"/>
        <v>103</v>
      </c>
      <c r="F108" t="e">
        <f t="shared" si="1031"/>
        <v>#NAME?</v>
      </c>
      <c r="G108" t="e">
        <f t="shared" si="1042"/>
        <v>#NAME?</v>
      </c>
      <c r="W108">
        <f t="shared" si="1033"/>
        <v>103</v>
      </c>
      <c r="X108" t="e">
        <f t="shared" si="1034"/>
        <v>#NAME?</v>
      </c>
      <c r="Y108" t="e">
        <f t="shared" si="1035"/>
        <v>#NAME?</v>
      </c>
      <c r="Z108" t="e">
        <f t="shared" si="1036"/>
        <v>#NAME?</v>
      </c>
      <c r="AA108" t="e">
        <f t="shared" si="1017"/>
        <v>#NAME?</v>
      </c>
      <c r="AB108" t="e">
        <f t="shared" si="1037"/>
        <v>#NAME?</v>
      </c>
      <c r="AC108" t="e">
        <f t="shared" si="1038"/>
        <v>#NAME?</v>
      </c>
      <c r="AE108">
        <f t="shared" si="1043"/>
        <v>103</v>
      </c>
      <c r="AF108">
        <f t="shared" si="1032"/>
        <v>11.3693776475137</v>
      </c>
    </row>
    <row r="109">
      <c r="A109">
        <f t="shared" si="1039"/>
        <v>103</v>
      </c>
      <c r="B109">
        <v>1.0513583351687668</v>
      </c>
      <c r="C109">
        <f t="shared" si="1040"/>
        <v>11.3693776475137</v>
      </c>
      <c r="E109">
        <f t="shared" si="1041"/>
        <v>104</v>
      </c>
      <c r="F109" t="e">
        <f t="shared" si="1031"/>
        <v>#NAME?</v>
      </c>
      <c r="G109" t="e">
        <f t="shared" si="1042"/>
        <v>#NAME?</v>
      </c>
      <c r="W109">
        <f t="shared" si="1033"/>
        <v>104</v>
      </c>
      <c r="X109" t="e">
        <f t="shared" si="1034"/>
        <v>#NAME?</v>
      </c>
      <c r="Y109" t="e">
        <f t="shared" si="1035"/>
        <v>#NAME?</v>
      </c>
      <c r="Z109" t="e">
        <f t="shared" si="1036"/>
        <v>#NAME?</v>
      </c>
      <c r="AA109" t="e">
        <f t="shared" si="1017"/>
        <v>#NAME?</v>
      </c>
      <c r="AB109" t="e">
        <f t="shared" si="1037"/>
        <v>#NAME?</v>
      </c>
      <c r="AC109" t="e">
        <f t="shared" si="1038"/>
        <v>#NAME?</v>
      </c>
      <c r="AE109">
        <f t="shared" si="1043"/>
        <v>104</v>
      </c>
      <c r="AF109">
        <f t="shared" si="1032"/>
        <v>10.7614422202354</v>
      </c>
    </row>
    <row r="110">
      <c r="A110">
        <f t="shared" si="1039"/>
        <v>104</v>
      </c>
      <c r="B110">
        <v>1.3149534009556495e-02</v>
      </c>
      <c r="C110">
        <f t="shared" si="1040"/>
        <v>10.7614422202354</v>
      </c>
      <c r="E110" s="14">
        <f t="shared" si="1041"/>
        <v>105</v>
      </c>
      <c r="F110" s="14" t="e">
        <f t="shared" si="1031"/>
        <v>#NAME?</v>
      </c>
      <c r="G110" s="14" t="e">
        <f t="shared" si="1042"/>
        <v>#NAME?</v>
      </c>
      <c r="W110">
        <f t="shared" si="1033"/>
        <v>105</v>
      </c>
      <c r="X110" t="e">
        <f t="shared" si="1034"/>
        <v>#NAME?</v>
      </c>
      <c r="Y110" t="e">
        <f t="shared" si="1035"/>
        <v>#NAME?</v>
      </c>
      <c r="Z110" t="e">
        <f t="shared" si="1036"/>
        <v>#NAME?</v>
      </c>
      <c r="AA110" t="e">
        <f t="shared" si="1017"/>
        <v>#NAME?</v>
      </c>
      <c r="AB110" t="e">
        <f t="shared" si="1037"/>
        <v>#NAME?</v>
      </c>
      <c r="AC110" t="e">
        <f t="shared" si="1038"/>
        <v>#NAME?</v>
      </c>
      <c r="AE110" s="14">
        <f t="shared" si="1043"/>
        <v>105</v>
      </c>
      <c r="AF110" s="14">
        <f t="shared" si="1032"/>
        <v>11.954765055483</v>
      </c>
    </row>
    <row r="111">
      <c r="A111">
        <f t="shared" si="1039"/>
        <v>105</v>
      </c>
      <c r="B111" s="14">
        <v>1.4243854081201066</v>
      </c>
      <c r="C111" s="14">
        <f t="shared" si="1040"/>
        <v>11.954765055483</v>
      </c>
      <c r="W111">
        <f t="shared" ref="W111:W115" si="1044">W110+1</f>
        <v>106</v>
      </c>
      <c r="Z111" t="e">
        <f>SUMPRODUCT(X110,J$6)+SUMPRODUCT(Y110,K$6)</f>
        <v>#NAME?</v>
      </c>
      <c r="AA111" t="e">
        <f t="shared" ref="AA111:AA115" si="1045">K$16*SQRT(SUMSQ(N$16:N16))</f>
        <v>#NAME?</v>
      </c>
      <c r="AB111" t="e">
        <f t="shared" si="1037"/>
        <v>#NAME?</v>
      </c>
      <c r="AC111" t="e">
        <f t="shared" si="1038"/>
        <v>#NAME?</v>
      </c>
      <c r="AE111">
        <f t="shared" si="1043"/>
        <v>106</v>
      </c>
      <c r="AF111" t="e">
        <f t="shared" ref="AF111:AF115" si="1046">Z111+K$7</f>
        <v>#NAME?</v>
      </c>
    </row>
    <row r="112">
      <c r="W112">
        <f t="shared" si="1044"/>
        <v>107</v>
      </c>
      <c r="Z112" t="e">
        <f>SUMPRODUCT(Z111,J6)</f>
        <v>#NAME?</v>
      </c>
      <c r="AA112" t="e">
        <f t="shared" si="1045"/>
        <v>#NAME?</v>
      </c>
      <c r="AB112" t="e">
        <f t="shared" si="1037"/>
        <v>#NAME?</v>
      </c>
      <c r="AC112" t="e">
        <f t="shared" si="1038"/>
        <v>#NAME?</v>
      </c>
      <c r="AE112">
        <f t="shared" si="1043"/>
        <v>107</v>
      </c>
      <c r="AF112" t="e">
        <f t="shared" si="1046"/>
        <v>#NAME?</v>
      </c>
    </row>
    <row r="113">
      <c r="B113" s="20" t="s">
        <v>576</v>
      </c>
      <c r="W113">
        <f t="shared" si="1044"/>
        <v>108</v>
      </c>
      <c r="Z113" t="e">
        <f>SUMPRODUCT(Z112,J6)</f>
        <v>#NAME?</v>
      </c>
      <c r="AA113" t="e">
        <f t="shared" si="1045"/>
        <v>#NAME?</v>
      </c>
      <c r="AB113" t="e">
        <f t="shared" si="1037"/>
        <v>#NAME?</v>
      </c>
      <c r="AC113" t="e">
        <f t="shared" si="1038"/>
        <v>#NAME?</v>
      </c>
      <c r="AE113">
        <f t="shared" si="1043"/>
        <v>108</v>
      </c>
      <c r="AF113" t="e">
        <f t="shared" si="1046"/>
        <v>#NAME?</v>
      </c>
    </row>
    <row r="114">
      <c r="W114">
        <f t="shared" si="1044"/>
        <v>109</v>
      </c>
      <c r="Z114" t="e">
        <f>SUMPRODUCT(Z113,J6)</f>
        <v>#NAME?</v>
      </c>
      <c r="AA114" t="e">
        <f t="shared" si="1045"/>
        <v>#NAME?</v>
      </c>
      <c r="AB114" t="e">
        <f t="shared" si="1037"/>
        <v>#NAME?</v>
      </c>
      <c r="AC114" t="e">
        <f t="shared" si="1038"/>
        <v>#NAME?</v>
      </c>
      <c r="AE114">
        <f t="shared" si="1043"/>
        <v>109</v>
      </c>
      <c r="AF114" t="e">
        <f t="shared" si="1046"/>
        <v>#NAME?</v>
      </c>
    </row>
    <row r="115">
      <c r="W115" s="14">
        <f t="shared" si="1044"/>
        <v>110</v>
      </c>
      <c r="X115" s="14"/>
      <c r="Y115" s="14"/>
      <c r="Z115" s="14" t="e">
        <f>SUMPRODUCT(Z114,J6)</f>
        <v>#NAME?</v>
      </c>
      <c r="AA115" s="14" t="e">
        <f t="shared" si="1045"/>
        <v>#NAME?</v>
      </c>
      <c r="AB115" s="14" t="e">
        <f t="shared" si="1037"/>
        <v>#NAME?</v>
      </c>
      <c r="AC115" s="14" t="e">
        <f t="shared" si="1038"/>
        <v>#NAME?</v>
      </c>
      <c r="AE115" s="14">
        <f t="shared" si="1043"/>
        <v>110</v>
      </c>
      <c r="AF115" s="14" t="e">
        <f t="shared" si="1046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10" max="11" width="9.8125"/>
  </cols>
  <sheetData>
    <row r="1">
      <c r="A1" s="1" t="s">
        <v>574</v>
      </c>
    </row>
    <row r="2" s="55" customFormat="1"/>
    <row r="3" s="55" customFormat="1" ht="15" customHeight="1">
      <c r="A3" s="55" t="s">
        <v>577</v>
      </c>
      <c r="E3" s="55" t="s">
        <v>578</v>
      </c>
      <c r="I3" s="55" t="s">
        <v>475</v>
      </c>
      <c r="M3" s="55" t="s">
        <v>476</v>
      </c>
      <c r="Q3" s="55" t="s">
        <v>477</v>
      </c>
      <c r="V3" s="55" t="s">
        <v>478</v>
      </c>
      <c r="AD3" s="55" t="s">
        <v>479</v>
      </c>
    </row>
    <row r="4" s="55" customFormat="1">
      <c r="Y4" s="55" t="s">
        <v>385</v>
      </c>
      <c r="Z4" s="55">
        <v>5.0000000000000003e-02</v>
      </c>
    </row>
    <row r="5">
      <c r="B5" s="4" t="s">
        <v>342</v>
      </c>
      <c r="C5" s="4" t="s">
        <v>343</v>
      </c>
      <c r="E5" s="24" t="s">
        <v>355</v>
      </c>
      <c r="F5" s="24" t="s">
        <v>173</v>
      </c>
      <c r="G5" s="24" t="s">
        <v>480</v>
      </c>
      <c r="I5" s="24" t="s">
        <v>481</v>
      </c>
      <c r="J5" s="24" t="s">
        <v>482</v>
      </c>
      <c r="K5" s="24" t="s">
        <v>483</v>
      </c>
      <c r="M5" s="24" t="s">
        <v>469</v>
      </c>
      <c r="N5" s="24" t="s">
        <v>470</v>
      </c>
      <c r="O5" s="24" t="s">
        <v>484</v>
      </c>
      <c r="Q5" s="24" t="s">
        <v>485</v>
      </c>
      <c r="R5" s="24" t="s">
        <v>486</v>
      </c>
      <c r="S5" s="24" t="s">
        <v>358</v>
      </c>
      <c r="T5" s="24" t="s">
        <v>189</v>
      </c>
      <c r="V5" s="24" t="s">
        <v>355</v>
      </c>
      <c r="W5" s="24" t="s">
        <v>173</v>
      </c>
      <c r="X5" s="24" t="s">
        <v>480</v>
      </c>
      <c r="Y5" s="24" t="s">
        <v>208</v>
      </c>
      <c r="Z5" s="24" t="s">
        <v>183</v>
      </c>
      <c r="AA5" s="24" t="s">
        <v>215</v>
      </c>
      <c r="AB5" s="24" t="s">
        <v>216</v>
      </c>
      <c r="AD5" s="24" t="s">
        <v>355</v>
      </c>
      <c r="AE5" s="24" t="s">
        <v>193</v>
      </c>
    </row>
    <row r="6">
      <c r="B6" s="15"/>
      <c r="C6" s="15"/>
      <c r="E6">
        <v>1</v>
      </c>
      <c r="F6">
        <f t="shared" ref="F6:F8" si="1047">C7-K$7</f>
        <v>-7.0300077469619699</v>
      </c>
      <c r="G6">
        <v>0</v>
      </c>
      <c r="I6" s="15">
        <v>1</v>
      </c>
      <c r="J6">
        <v>0.75099344092444753</v>
      </c>
      <c r="K6">
        <v>-0.48632527191137565</v>
      </c>
      <c r="M6" s="26" t="e">
        <v>#NAME?</v>
      </c>
      <c r="N6" s="26" t="e">
        <v>#NAME?</v>
      </c>
      <c r="O6" s="26" t="e">
        <v>#NAME?</v>
      </c>
      <c r="Q6" t="s">
        <v>488</v>
      </c>
      <c r="R6">
        <f>J6</f>
        <v>0.75099344092444797</v>
      </c>
      <c r="S6" t="e">
        <v>#NAME?</v>
      </c>
      <c r="T6" t="e">
        <f>CHIDIST(K19*(LN(S6)-LN(K9)),1)</f>
        <v>#NAME?</v>
      </c>
      <c r="V6">
        <f t="shared" ref="V6:V9" si="1048">E6</f>
        <v>1</v>
      </c>
      <c r="W6">
        <f t="shared" ref="W6:W9" si="1049">F6</f>
        <v>-7.0300077469619699</v>
      </c>
      <c r="X6">
        <f t="shared" ref="X6:X9" si="1050">G6</f>
        <v>0</v>
      </c>
      <c r="Y6">
        <f t="shared" ref="Y6:Y9" si="1051">W6-X6</f>
        <v>-7.0300077469619699</v>
      </c>
      <c r="Z6">
        <f t="shared" ref="Z6:Z69" si="1052">K$16</f>
        <v>1.02446443399141</v>
      </c>
      <c r="AA6">
        <f t="shared" ref="AA6:AA9" si="1053">Y6-NORMSINV(1-Z$4/2)*Z6</f>
        <v>-9.0379210420536999</v>
      </c>
      <c r="AB6">
        <f t="shared" ref="AB6:AB9" si="1054">Y6+NORMSINV(1-Z$4/2)*Z6</f>
        <v>-5.02209445187024</v>
      </c>
      <c r="AD6">
        <v>1</v>
      </c>
      <c r="AE6">
        <f t="shared" ref="AE6:AE8" si="1055">C7</f>
        <v>3.1176756475655298</v>
      </c>
    </row>
    <row r="7">
      <c r="A7">
        <v>1</v>
      </c>
      <c r="B7">
        <v>0.11767564756553414</v>
      </c>
      <c r="C7">
        <f t="shared" ref="C7:C9" si="1056">3+0.7*C6+B7-0.2*B6</f>
        <v>3.1176756475655298</v>
      </c>
      <c r="E7">
        <f t="shared" ref="E7:E10" si="1057">E6+1</f>
        <v>2</v>
      </c>
      <c r="F7">
        <f t="shared" si="1047"/>
        <v>-4.33943230872858</v>
      </c>
      <c r="G7">
        <f t="shared" ref="G7:G9" si="1058">F7-SUMPRODUCT(F6,J$6)-SUMPRODUCT(G6,K$6)</f>
        <v>0.94005739888790996</v>
      </c>
      <c r="I7" s="17" t="s">
        <v>494</v>
      </c>
      <c r="J7" s="14">
        <f>K7*(1-SUM(J6))</f>
        <v>2.5268397246594101</v>
      </c>
      <c r="K7" s="14">
        <v>10.147683394527482</v>
      </c>
      <c r="Q7" t="s">
        <v>581</v>
      </c>
      <c r="R7">
        <f>K6</f>
        <v>-0.48632527191137598</v>
      </c>
      <c r="S7" t="e">
        <v>#NAME?</v>
      </c>
      <c r="T7" t="e">
        <f>CHIDIST(K19*(LN(S7)-LN(K9)),1)</f>
        <v>#NAME?</v>
      </c>
      <c r="V7">
        <f t="shared" si="1048"/>
        <v>2</v>
      </c>
      <c r="W7">
        <f t="shared" si="1049"/>
        <v>-4.33943230872858</v>
      </c>
      <c r="X7">
        <f t="shared" si="1050"/>
        <v>0.94005739888790996</v>
      </c>
      <c r="Y7">
        <f t="shared" si="1051"/>
        <v>-5.2794897076164897</v>
      </c>
      <c r="Z7">
        <f t="shared" si="1052"/>
        <v>1.02446443399141</v>
      </c>
      <c r="AA7">
        <f t="shared" si="1053"/>
        <v>-7.2874030027082197</v>
      </c>
      <c r="AB7">
        <f t="shared" si="1054"/>
        <v>-3.2715764125247602</v>
      </c>
      <c r="AD7">
        <f t="shared" ref="AD7:AD10" si="1059">AD6+1</f>
        <v>2</v>
      </c>
      <c r="AE7">
        <f t="shared" si="1055"/>
        <v>5.8082510857989202</v>
      </c>
    </row>
    <row r="8">
      <c r="A8">
        <f t="shared" ref="A8:A10" si="1060">A7+1</f>
        <v>2</v>
      </c>
      <c r="B8">
        <v>0.64941326201616079</v>
      </c>
      <c r="C8">
        <f t="shared" si="1056"/>
        <v>5.8082510857989202</v>
      </c>
      <c r="E8">
        <f t="shared" si="1057"/>
        <v>3</v>
      </c>
      <c r="F8">
        <f t="shared" si="1047"/>
        <v>-5.2409147961457201</v>
      </c>
      <c r="G8">
        <f t="shared" si="1058"/>
        <v>-1.5248559248284601</v>
      </c>
      <c r="M8" t="s">
        <v>495</v>
      </c>
      <c r="Q8" t="s">
        <v>494</v>
      </c>
      <c r="R8">
        <f>J7</f>
        <v>2.5268397246594101</v>
      </c>
      <c r="S8" t="e">
        <v>#NAME?</v>
      </c>
      <c r="T8" t="e">
        <f>CHIDIST(K19*(LN(S8)-LN(K9)),1)</f>
        <v>#NAME?</v>
      </c>
      <c r="V8">
        <f t="shared" si="1048"/>
        <v>3</v>
      </c>
      <c r="W8">
        <f t="shared" si="1049"/>
        <v>-5.2409147961457201</v>
      </c>
      <c r="X8">
        <f t="shared" si="1050"/>
        <v>-1.5248559248284601</v>
      </c>
      <c r="Y8">
        <f t="shared" si="1051"/>
        <v>-3.71605887131726</v>
      </c>
      <c r="Z8">
        <f t="shared" si="1052"/>
        <v>1.02446443399141</v>
      </c>
      <c r="AA8">
        <f t="shared" si="1053"/>
        <v>-5.7239721664089904</v>
      </c>
      <c r="AB8">
        <f t="shared" si="1054"/>
        <v>-1.70814557622553</v>
      </c>
      <c r="AD8">
        <f t="shared" si="1059"/>
        <v>3</v>
      </c>
      <c r="AE8">
        <f t="shared" si="1055"/>
        <v>4.9067685983817801</v>
      </c>
    </row>
    <row r="9">
      <c r="A9">
        <f t="shared" si="1060"/>
        <v>3</v>
      </c>
      <c r="B9">
        <v>-2.0291245092742414</v>
      </c>
      <c r="C9">
        <f t="shared" si="1056"/>
        <v>4.9067685983817801</v>
      </c>
      <c r="E9">
        <f t="shared" si="1057"/>
        <v>4</v>
      </c>
      <c r="F9">
        <f t="shared" ref="F9:F72" si="1061">C10-K$7</f>
        <v>-4.0282089122672504</v>
      </c>
      <c r="G9">
        <f t="shared" si="1058"/>
        <v>-0.83389224818580399</v>
      </c>
      <c r="J9" t="s">
        <v>464</v>
      </c>
      <c r="K9" s="18">
        <f>SUMSQ(G7:G110)</f>
        <v>109.15084715738701</v>
      </c>
      <c r="Q9" s="14" t="s">
        <v>283</v>
      </c>
      <c r="R9" s="14">
        <f>K17</f>
        <v>-0.22770272959629301</v>
      </c>
      <c r="S9" s="14">
        <f>-R9/(K18/SQRT(K19))</f>
        <v>1.7419814194640399</v>
      </c>
      <c r="T9" s="14">
        <f>TDIST(ABS(S9),K19-1,2)</f>
        <v>8.4496852814672008e-02</v>
      </c>
      <c r="V9">
        <f t="shared" si="1048"/>
        <v>4</v>
      </c>
      <c r="W9">
        <f t="shared" si="1049"/>
        <v>-4.0282089122672504</v>
      </c>
      <c r="X9">
        <f t="shared" si="1050"/>
        <v>-0.83389224818580399</v>
      </c>
      <c r="Y9">
        <f t="shared" si="1051"/>
        <v>-3.19431666408145</v>
      </c>
      <c r="Z9">
        <f t="shared" si="1052"/>
        <v>1.02446443399141</v>
      </c>
      <c r="AA9">
        <f t="shared" si="1053"/>
        <v>-5.20222995917318</v>
      </c>
      <c r="AB9">
        <f t="shared" si="1054"/>
        <v>-1.18640336898972</v>
      </c>
      <c r="AD9">
        <f t="shared" si="1059"/>
        <v>4</v>
      </c>
      <c r="AE9">
        <f t="shared" ref="AE9:AE72" si="1062">C10</f>
        <v>6.1194744822602498</v>
      </c>
    </row>
    <row r="10">
      <c r="A10">
        <f t="shared" si="1060"/>
        <v>4</v>
      </c>
      <c r="B10">
        <v>-0.72108843846184933</v>
      </c>
      <c r="C10">
        <f>3+0.7*C9+B10-0.2*B9</f>
        <v>6.1194744822602498</v>
      </c>
      <c r="E10">
        <f t="shared" si="1057"/>
        <v>5</v>
      </c>
      <c r="F10">
        <f t="shared" si="1061"/>
        <v>-2.0123570827617798</v>
      </c>
      <c r="G10">
        <f>F10-SUMPRODUCT(F9,J$6)-SUMPRODUCT(G9,K$6)</f>
        <v>0.60725851468058101</v>
      </c>
      <c r="M10" s="24" t="s">
        <v>469</v>
      </c>
      <c r="N10" s="24" t="s">
        <v>470</v>
      </c>
      <c r="O10" s="24" t="s">
        <v>484</v>
      </c>
      <c r="V10">
        <f t="shared" ref="V10:V73" si="1063">E10</f>
        <v>5</v>
      </c>
      <c r="W10">
        <f t="shared" ref="W10:W73" si="1064">F10</f>
        <v>-2.0123570827617798</v>
      </c>
      <c r="X10">
        <f t="shared" ref="X10:X73" si="1065">G10</f>
        <v>0.60725851468058101</v>
      </c>
      <c r="Y10">
        <f t="shared" ref="Y10:Y73" si="1066">W10-X10</f>
        <v>-2.6196155974423601</v>
      </c>
      <c r="Z10">
        <f t="shared" si="1052"/>
        <v>1.02446443399141</v>
      </c>
      <c r="AA10">
        <f t="shared" ref="AA10:AA73" si="1067">Y10-NORMSINV(1-Z$4/2)*Z10</f>
        <v>-4.6275288925340901</v>
      </c>
      <c r="AB10">
        <f t="shared" ref="AB10:AB73" si="1068">Y10+NORMSINV(1-Z$4/2)*Z10</f>
        <v>-0.61170230235062995</v>
      </c>
      <c r="AD10">
        <f t="shared" si="1059"/>
        <v>5</v>
      </c>
      <c r="AE10">
        <f t="shared" si="1062"/>
        <v>8.13532631176572</v>
      </c>
    </row>
    <row r="11">
      <c r="A11">
        <f t="shared" ref="A11:A74" si="1069">A10+1</f>
        <v>5</v>
      </c>
      <c r="B11">
        <v>0.70747648649116812</v>
      </c>
      <c r="C11">
        <f t="shared" ref="C11:C74" si="1070">3+0.7*C10+B11-0.2*B10</f>
        <v>8.13532631176572</v>
      </c>
      <c r="E11">
        <f t="shared" ref="E11:E74" si="1071">E10+1</f>
        <v>6</v>
      </c>
      <c r="F11">
        <f t="shared" si="1061"/>
        <v>-0.802815967881509</v>
      </c>
      <c r="G11">
        <f t="shared" ref="G11:G74" si="1072">F11-SUMPRODUCT(F10,J$6)-SUMPRODUCT(G10,K$6)</f>
        <v>1.0037761643429699</v>
      </c>
      <c r="J11" t="s">
        <v>497</v>
      </c>
      <c r="K11" s="7">
        <v>1</v>
      </c>
      <c r="M11" s="26" t="e">
        <v>#NAME?</v>
      </c>
      <c r="N11" s="26" t="e">
        <v>#NAME?</v>
      </c>
      <c r="O11" s="26" t="e">
        <v>#NAME?</v>
      </c>
      <c r="Q11" t="s">
        <v>496</v>
      </c>
      <c r="R11" s="16" t="s">
        <v>363</v>
      </c>
      <c r="V11">
        <f t="shared" si="1063"/>
        <v>6</v>
      </c>
      <c r="W11">
        <f t="shared" si="1064"/>
        <v>-0.802815967881509</v>
      </c>
      <c r="X11">
        <f t="shared" si="1065"/>
        <v>1.0037761643429699</v>
      </c>
      <c r="Y11">
        <f t="shared" si="1066"/>
        <v>-1.80659213222448</v>
      </c>
      <c r="Z11">
        <f t="shared" si="1052"/>
        <v>1.02446443399141</v>
      </c>
      <c r="AA11">
        <f t="shared" si="1067"/>
        <v>-3.81450542731621</v>
      </c>
      <c r="AB11">
        <f t="shared" si="1068"/>
        <v>0.20132116286724999</v>
      </c>
      <c r="AD11">
        <f t="shared" ref="AD11:AD74" si="1073">AD10+1</f>
        <v>6</v>
      </c>
      <c r="AE11">
        <f t="shared" si="1062"/>
        <v>9.3448674266459903</v>
      </c>
    </row>
    <row r="12">
      <c r="A12">
        <f t="shared" si="1069"/>
        <v>6</v>
      </c>
      <c r="B12">
        <v>0.79163430570821358</v>
      </c>
      <c r="C12">
        <f t="shared" si="1070"/>
        <v>9.3448674266459903</v>
      </c>
      <c r="E12">
        <f t="shared" si="1071"/>
        <v>7</v>
      </c>
      <c r="F12">
        <f t="shared" si="1061"/>
        <v>-1.0000327106403299</v>
      </c>
      <c r="G12">
        <f t="shared" si="1072"/>
        <v>9.1038531570347997e-02</v>
      </c>
      <c r="J12" t="s">
        <v>498</v>
      </c>
      <c r="K12" s="10">
        <v>1</v>
      </c>
      <c r="V12">
        <f t="shared" si="1063"/>
        <v>7</v>
      </c>
      <c r="W12">
        <f t="shared" si="1064"/>
        <v>-1.0000327106403299</v>
      </c>
      <c r="X12">
        <f t="shared" si="1065"/>
        <v>9.1038531570347997e-02</v>
      </c>
      <c r="Y12">
        <f t="shared" si="1066"/>
        <v>-1.0910712422106801</v>
      </c>
      <c r="Z12">
        <f t="shared" si="1052"/>
        <v>1.02446443399141</v>
      </c>
      <c r="AA12">
        <f t="shared" si="1067"/>
        <v>-3.0989845373024099</v>
      </c>
      <c r="AB12">
        <f t="shared" si="1068"/>
        <v>0.91684205288105003</v>
      </c>
      <c r="AD12">
        <f t="shared" si="1073"/>
        <v>7</v>
      </c>
      <c r="AE12">
        <f t="shared" si="1062"/>
        <v>9.1476506838871696</v>
      </c>
    </row>
    <row r="13">
      <c r="A13">
        <f t="shared" si="1069"/>
        <v>7</v>
      </c>
      <c r="B13">
        <v>-0.23542965362338003</v>
      </c>
      <c r="C13">
        <f t="shared" si="1070"/>
        <v>9.1476506838871696</v>
      </c>
      <c r="E13">
        <f t="shared" si="1071"/>
        <v>8</v>
      </c>
      <c r="F13">
        <f t="shared" si="1061"/>
        <v>-2.0461901132245099</v>
      </c>
      <c r="G13">
        <f t="shared" si="1072"/>
        <v>-1.25089776820337</v>
      </c>
      <c r="J13" t="s">
        <v>181</v>
      </c>
      <c r="K13" s="10">
        <v>0</v>
      </c>
      <c r="M13" t="s">
        <v>499</v>
      </c>
      <c r="V13">
        <f t="shared" si="1063"/>
        <v>8</v>
      </c>
      <c r="W13">
        <f t="shared" si="1064"/>
        <v>-2.0461901132245099</v>
      </c>
      <c r="X13">
        <f t="shared" si="1065"/>
        <v>-1.25089776820337</v>
      </c>
      <c r="Y13">
        <f t="shared" si="1066"/>
        <v>-0.79529234502113999</v>
      </c>
      <c r="Z13">
        <f t="shared" si="1052"/>
        <v>1.02446443399141</v>
      </c>
      <c r="AA13">
        <f t="shared" si="1067"/>
        <v>-2.80320564011287</v>
      </c>
      <c r="AB13">
        <f t="shared" si="1068"/>
        <v>1.21262095007059</v>
      </c>
      <c r="AD13">
        <f t="shared" si="1073"/>
        <v>8</v>
      </c>
      <c r="AE13">
        <f t="shared" si="1062"/>
        <v>8.1014932813029894</v>
      </c>
    </row>
    <row r="14">
      <c r="A14">
        <f t="shared" si="1069"/>
        <v>8</v>
      </c>
      <c r="B14">
        <v>-1.3489481281427076</v>
      </c>
      <c r="C14">
        <f t="shared" si="1070"/>
        <v>8.1014932813029894</v>
      </c>
      <c r="E14">
        <f t="shared" si="1071"/>
        <v>9</v>
      </c>
      <c r="F14">
        <f t="shared" si="1061"/>
        <v>-1.2643653545990001e-03</v>
      </c>
      <c r="G14">
        <f t="shared" si="1072"/>
        <v>0.92706779130662298</v>
      </c>
      <c r="J14" t="s">
        <v>500</v>
      </c>
      <c r="K14" s="10">
        <f>AVERAGE(G7:G110)</f>
        <v>5.7767720864700014e-04</v>
      </c>
      <c r="V14">
        <f t="shared" si="1063"/>
        <v>9</v>
      </c>
      <c r="W14">
        <f t="shared" si="1064"/>
        <v>-1.2643653545990001e-03</v>
      </c>
      <c r="X14">
        <f t="shared" si="1065"/>
        <v>0.92706779130662298</v>
      </c>
      <c r="Y14">
        <f t="shared" si="1066"/>
        <v>-0.92833215666122215</v>
      </c>
      <c r="Z14">
        <f t="shared" si="1052"/>
        <v>1.02446443399141</v>
      </c>
      <c r="AA14">
        <f t="shared" si="1067"/>
        <v>-2.9362454517529502</v>
      </c>
      <c r="AB14">
        <f t="shared" si="1068"/>
        <v>1.0795811384305101</v>
      </c>
      <c r="AD14">
        <f t="shared" si="1073"/>
        <v>9</v>
      </c>
      <c r="AE14">
        <f t="shared" si="1062"/>
        <v>10.1464190291729</v>
      </c>
    </row>
    <row r="15">
      <c r="A15">
        <f t="shared" si="1069"/>
        <v>9</v>
      </c>
      <c r="B15">
        <v>1.2055841066323034</v>
      </c>
      <c r="C15">
        <f t="shared" si="1070"/>
        <v>10.1464190291729</v>
      </c>
      <c r="E15">
        <f t="shared" si="1071"/>
        <v>10</v>
      </c>
      <c r="F15">
        <f t="shared" si="1061"/>
        <v>0.89751295447660007</v>
      </c>
      <c r="G15">
        <f t="shared" si="1072"/>
        <v>1.34931898025231</v>
      </c>
      <c r="J15" t="s">
        <v>502</v>
      </c>
      <c r="K15" s="10">
        <f>STDEV(G7:G110)</f>
        <v>1.02942538619475</v>
      </c>
      <c r="M15" s="24" t="s">
        <v>481</v>
      </c>
      <c r="N15" s="24" t="s">
        <v>501</v>
      </c>
      <c r="V15">
        <f t="shared" si="1063"/>
        <v>10</v>
      </c>
      <c r="W15">
        <f t="shared" si="1064"/>
        <v>0.89751295447660007</v>
      </c>
      <c r="X15">
        <f t="shared" si="1065"/>
        <v>1.34931898025231</v>
      </c>
      <c r="Y15">
        <f t="shared" si="1066"/>
        <v>-0.45180602577571005</v>
      </c>
      <c r="Z15">
        <f t="shared" si="1052"/>
        <v>1.02446443399141</v>
      </c>
      <c r="AA15">
        <f t="shared" si="1067"/>
        <v>-2.4597193208674399</v>
      </c>
      <c r="AB15">
        <f t="shared" si="1068"/>
        <v>1.5561072693160201</v>
      </c>
      <c r="AD15">
        <f t="shared" si="1073"/>
        <v>10</v>
      </c>
      <c r="AE15">
        <f t="shared" si="1062"/>
        <v>11.045196349004099</v>
      </c>
    </row>
    <row r="16">
      <c r="A16">
        <f t="shared" si="1069"/>
        <v>10</v>
      </c>
      <c r="B16">
        <v>1.1838198499095891</v>
      </c>
      <c r="C16">
        <f t="shared" si="1070"/>
        <v>11.045196349004099</v>
      </c>
      <c r="E16">
        <f t="shared" si="1071"/>
        <v>11</v>
      </c>
      <c r="F16">
        <f t="shared" si="1061"/>
        <v>-2.5105314344498995e-02</v>
      </c>
      <c r="G16">
        <f t="shared" si="1072"/>
        <v>-4.2923736334762992e-02</v>
      </c>
      <c r="J16" t="s">
        <v>503</v>
      </c>
      <c r="K16" s="10">
        <f>SQRT(K9/K19)</f>
        <v>1.02446443399141</v>
      </c>
      <c r="M16" s="42">
        <v>0</v>
      </c>
      <c r="N16" s="42" t="e">
        <v>#NAME?</v>
      </c>
      <c r="V16">
        <f t="shared" si="1063"/>
        <v>11</v>
      </c>
      <c r="W16">
        <f t="shared" si="1064"/>
        <v>-2.5105314344498995e-02</v>
      </c>
      <c r="X16">
        <f t="shared" si="1065"/>
        <v>-4.2923736334762992e-02</v>
      </c>
      <c r="Y16">
        <f t="shared" si="1066"/>
        <v>1.7818421990264e-02</v>
      </c>
      <c r="Z16">
        <f t="shared" si="1052"/>
        <v>1.02446443399141</v>
      </c>
      <c r="AA16">
        <f t="shared" si="1067"/>
        <v>-1.99009487310147</v>
      </c>
      <c r="AB16">
        <f t="shared" si="1068"/>
        <v>2.0257317170819902</v>
      </c>
      <c r="AD16">
        <f t="shared" si="1073"/>
        <v>11</v>
      </c>
      <c r="AE16">
        <f t="shared" si="1062"/>
        <v>10.122578080183001</v>
      </c>
    </row>
    <row r="17">
      <c r="A17">
        <f t="shared" si="1069"/>
        <v>11</v>
      </c>
      <c r="B17">
        <v>-0.37229539413802176</v>
      </c>
      <c r="C17">
        <f t="shared" si="1070"/>
        <v>10.122578080183001</v>
      </c>
      <c r="E17">
        <f t="shared" si="1071"/>
        <v>12</v>
      </c>
      <c r="F17">
        <f t="shared" si="1061"/>
        <v>2.5918849924601001e-02</v>
      </c>
      <c r="G17">
        <f t="shared" si="1072"/>
        <v>2.3897878585210003e-02</v>
      </c>
      <c r="J17" t="s">
        <v>504</v>
      </c>
      <c r="K17" s="10">
        <f>AVERAGE(F7:F110)</f>
        <v>-0.22770272959629301</v>
      </c>
      <c r="M17">
        <f t="shared" ref="M17:M20" si="1074">M16+1</f>
        <v>1</v>
      </c>
      <c r="N17" t="e">
        <v>#NAME?</v>
      </c>
      <c r="V17">
        <f t="shared" si="1063"/>
        <v>12</v>
      </c>
      <c r="W17">
        <f t="shared" si="1064"/>
        <v>2.5918849924601001e-02</v>
      </c>
      <c r="X17">
        <f t="shared" si="1065"/>
        <v>2.3897878585210003e-02</v>
      </c>
      <c r="Y17">
        <f t="shared" si="1066"/>
        <v>2.020971339391e-03</v>
      </c>
      <c r="Z17">
        <f t="shared" si="1052"/>
        <v>1.02446443399141</v>
      </c>
      <c r="AA17">
        <f t="shared" si="1067"/>
        <v>-2.0058923237523398</v>
      </c>
      <c r="AB17">
        <f t="shared" si="1068"/>
        <v>2.0099342664311202</v>
      </c>
      <c r="AD17">
        <f t="shared" si="1073"/>
        <v>12</v>
      </c>
      <c r="AE17">
        <f t="shared" si="1062"/>
        <v>10.1736022444521</v>
      </c>
    </row>
    <row r="18">
      <c r="A18">
        <f t="shared" si="1069"/>
        <v>12</v>
      </c>
      <c r="B18">
        <v>1.3338509496353779e-02</v>
      </c>
      <c r="C18">
        <f t="shared" si="1070"/>
        <v>10.1736022444521</v>
      </c>
      <c r="E18">
        <f t="shared" si="1071"/>
        <v>13</v>
      </c>
      <c r="F18">
        <f t="shared" si="1061"/>
        <v>0.67362640636540105</v>
      </c>
      <c r="G18">
        <f t="shared" si="1072"/>
        <v>0.665783662376778</v>
      </c>
      <c r="J18" t="s">
        <v>505</v>
      </c>
      <c r="K18" s="10">
        <f>STDEV(F7:F110)</f>
        <v>1.33303449570326</v>
      </c>
      <c r="M18">
        <f t="shared" si="1074"/>
        <v>2</v>
      </c>
      <c r="N18" t="e">
        <v>#NAME?</v>
      </c>
      <c r="V18">
        <f t="shared" si="1063"/>
        <v>13</v>
      </c>
      <c r="W18">
        <f t="shared" si="1064"/>
        <v>0.67362640636540105</v>
      </c>
      <c r="X18">
        <f t="shared" si="1065"/>
        <v>0.665783662376778</v>
      </c>
      <c r="Y18">
        <f t="shared" si="1066"/>
        <v>7.8427439886230004e-03</v>
      </c>
      <c r="Z18">
        <f t="shared" si="1052"/>
        <v>1.02446443399141</v>
      </c>
      <c r="AA18">
        <f t="shared" si="1067"/>
        <v>-2.0000705511031098</v>
      </c>
      <c r="AB18">
        <f t="shared" si="1068"/>
        <v>2.0157560390803502</v>
      </c>
      <c r="AD18">
        <f t="shared" si="1073"/>
        <v>13</v>
      </c>
      <c r="AE18">
        <f t="shared" si="1062"/>
        <v>10.8213098008929</v>
      </c>
    </row>
    <row r="19">
      <c r="A19">
        <f t="shared" si="1069"/>
        <v>13</v>
      </c>
      <c r="B19">
        <v>0.70245593167564913</v>
      </c>
      <c r="C19">
        <f t="shared" si="1070"/>
        <v>10.8213098008929</v>
      </c>
      <c r="E19">
        <f t="shared" si="1071"/>
        <v>14</v>
      </c>
      <c r="F19">
        <f t="shared" si="1061"/>
        <v>-6.3620144953500005e-02</v>
      </c>
      <c r="G19">
        <f t="shared" si="1072"/>
        <v>-0.24572173712788498</v>
      </c>
      <c r="J19" t="s">
        <v>506</v>
      </c>
      <c r="K19" s="13">
        <f>COUNT(F7:F110)</f>
        <v>104</v>
      </c>
      <c r="M19">
        <f t="shared" si="1074"/>
        <v>3</v>
      </c>
      <c r="N19" t="e">
        <v>#NAME?</v>
      </c>
      <c r="V19">
        <f t="shared" si="1063"/>
        <v>14</v>
      </c>
      <c r="W19">
        <f t="shared" si="1064"/>
        <v>-6.3620144953500005e-02</v>
      </c>
      <c r="X19">
        <f t="shared" si="1065"/>
        <v>-0.24572173712788498</v>
      </c>
      <c r="Y19">
        <f t="shared" si="1066"/>
        <v>0.18210159217438501</v>
      </c>
      <c r="Z19">
        <f t="shared" si="1052"/>
        <v>1.02446443399141</v>
      </c>
      <c r="AA19">
        <f t="shared" si="1067"/>
        <v>-1.82581170291735</v>
      </c>
      <c r="AB19">
        <f t="shared" si="1068"/>
        <v>2.1900148872661198</v>
      </c>
      <c r="AD19">
        <f t="shared" si="1073"/>
        <v>14</v>
      </c>
      <c r="AE19">
        <f t="shared" si="1062"/>
        <v>10.084063249573999</v>
      </c>
    </row>
    <row r="20">
      <c r="A20">
        <f t="shared" si="1069"/>
        <v>14</v>
      </c>
      <c r="B20">
        <v>-0.35036242471588258</v>
      </c>
      <c r="C20">
        <f t="shared" si="1070"/>
        <v>10.084063249573999</v>
      </c>
      <c r="E20">
        <f t="shared" si="1071"/>
        <v>15</v>
      </c>
      <c r="F20">
        <f t="shared" si="1061"/>
        <v>0.19837066102800097</v>
      </c>
      <c r="G20">
        <f t="shared" si="1072"/>
        <v>0.126648281975488</v>
      </c>
      <c r="M20" s="14">
        <f t="shared" si="1074"/>
        <v>4</v>
      </c>
      <c r="N20" s="14" t="e">
        <v>#NAME?</v>
      </c>
      <c r="V20">
        <f t="shared" si="1063"/>
        <v>15</v>
      </c>
      <c r="W20">
        <f t="shared" si="1064"/>
        <v>0.19837066102800097</v>
      </c>
      <c r="X20">
        <f t="shared" si="1065"/>
        <v>0.126648281975488</v>
      </c>
      <c r="Y20">
        <f t="shared" si="1066"/>
        <v>7.1722379052512997e-02</v>
      </c>
      <c r="Z20">
        <f t="shared" si="1052"/>
        <v>1.02446443399141</v>
      </c>
      <c r="AA20">
        <f t="shared" si="1067"/>
        <v>-1.9361909160392199</v>
      </c>
      <c r="AB20">
        <f t="shared" si="1068"/>
        <v>2.0796356741442401</v>
      </c>
      <c r="AD20">
        <f t="shared" si="1073"/>
        <v>15</v>
      </c>
      <c r="AE20">
        <f t="shared" si="1062"/>
        <v>10.3460540555555</v>
      </c>
    </row>
    <row r="21">
      <c r="A21">
        <f t="shared" si="1069"/>
        <v>15</v>
      </c>
      <c r="B21">
        <v>0.21713729591053149</v>
      </c>
      <c r="C21">
        <f t="shared" si="1070"/>
        <v>10.3460540555555</v>
      </c>
      <c r="E21">
        <f t="shared" si="1071"/>
        <v>16</v>
      </c>
      <c r="F21">
        <f t="shared" si="1061"/>
        <v>-0.45548045522483005</v>
      </c>
      <c r="G21">
        <f t="shared" si="1072"/>
        <v>-0.54286326035986798</v>
      </c>
      <c r="J21" t="s">
        <v>507</v>
      </c>
      <c r="K21" s="7">
        <f>-(K24-2*(K11+K12+2))/2</f>
        <v>-150.08328460523299</v>
      </c>
      <c r="V21">
        <f t="shared" si="1063"/>
        <v>16</v>
      </c>
      <c r="W21">
        <f t="shared" si="1064"/>
        <v>-0.45548045522483005</v>
      </c>
      <c r="X21">
        <f t="shared" si="1065"/>
        <v>-0.54286326035986798</v>
      </c>
      <c r="Y21">
        <f t="shared" si="1066"/>
        <v>8.7382805135037989e-02</v>
      </c>
      <c r="Z21">
        <f t="shared" si="1052"/>
        <v>1.02446443399141</v>
      </c>
      <c r="AA21">
        <f t="shared" si="1067"/>
        <v>-1.92053048995669</v>
      </c>
      <c r="AB21">
        <f t="shared" si="1068"/>
        <v>2.0952961002267698</v>
      </c>
      <c r="AD21">
        <f t="shared" si="1073"/>
        <v>16</v>
      </c>
      <c r="AE21">
        <f t="shared" si="1062"/>
        <v>9.6922029393026694</v>
      </c>
    </row>
    <row r="22">
      <c r="A22">
        <f t="shared" si="1069"/>
        <v>16</v>
      </c>
      <c r="B22">
        <v>-0.50660744040413153</v>
      </c>
      <c r="C22">
        <f t="shared" si="1070"/>
        <v>9.6922029393026694</v>
      </c>
      <c r="E22">
        <f t="shared" si="1071"/>
        <v>17</v>
      </c>
      <c r="F22">
        <f t="shared" si="1061"/>
        <v>1.0578913760983999</v>
      </c>
      <c r="G22">
        <f t="shared" si="1072"/>
        <v>1.1359460877363201</v>
      </c>
      <c r="J22" t="s">
        <v>374</v>
      </c>
      <c r="K22" s="10">
        <f>K19*LN(K9/K19)+2*(K11+K12+2)</f>
        <v>13.0273543038937</v>
      </c>
      <c r="V22">
        <f t="shared" si="1063"/>
        <v>17</v>
      </c>
      <c r="W22">
        <f t="shared" si="1064"/>
        <v>1.0578913760983999</v>
      </c>
      <c r="X22">
        <f t="shared" si="1065"/>
        <v>1.1359460877363201</v>
      </c>
      <c r="Y22">
        <f t="shared" si="1066"/>
        <v>-7.8054711637919993e-02</v>
      </c>
      <c r="Z22">
        <f t="shared" si="1052"/>
        <v>1.02446443399141</v>
      </c>
      <c r="AA22">
        <f t="shared" si="1067"/>
        <v>-2.08596800672965</v>
      </c>
      <c r="AB22">
        <f t="shared" si="1068"/>
        <v>1.92985858345381</v>
      </c>
      <c r="AD22">
        <f t="shared" si="1073"/>
        <v>17</v>
      </c>
      <c r="AE22">
        <f t="shared" si="1062"/>
        <v>11.205574770625899</v>
      </c>
    </row>
    <row r="23">
      <c r="A23">
        <f t="shared" si="1069"/>
        <v>17</v>
      </c>
      <c r="B23">
        <v>1.3197112250332259</v>
      </c>
      <c r="C23">
        <f t="shared" si="1070"/>
        <v>11.205574770625899</v>
      </c>
      <c r="E23">
        <f t="shared" si="1071"/>
        <v>18</v>
      </c>
      <c r="F23">
        <f t="shared" si="1061"/>
        <v>2.5044330219874</v>
      </c>
      <c r="G23">
        <f t="shared" si="1072"/>
        <v>2.2624028273219898</v>
      </c>
      <c r="J23" t="s">
        <v>508</v>
      </c>
      <c r="K23" s="10">
        <f>K19*LN(K9/K19)+LN(K19)*(K11+K12+2)</f>
        <v>23.604917900459199</v>
      </c>
      <c r="V23">
        <f t="shared" si="1063"/>
        <v>18</v>
      </c>
      <c r="W23">
        <f t="shared" si="1064"/>
        <v>2.5044330219874</v>
      </c>
      <c r="X23">
        <f t="shared" si="1065"/>
        <v>2.2624028273219898</v>
      </c>
      <c r="Y23">
        <f t="shared" si="1066"/>
        <v>0.24203019466541004</v>
      </c>
      <c r="Z23">
        <f t="shared" si="1052"/>
        <v>1.02446443399141</v>
      </c>
      <c r="AA23">
        <f t="shared" si="1067"/>
        <v>-1.76588310042632</v>
      </c>
      <c r="AB23">
        <f t="shared" si="1068"/>
        <v>2.2499434897571402</v>
      </c>
      <c r="AD23">
        <f t="shared" si="1073"/>
        <v>18</v>
      </c>
      <c r="AE23">
        <f t="shared" si="1062"/>
        <v>12.6521164165149</v>
      </c>
    </row>
    <row r="24">
      <c r="A24">
        <f t="shared" si="1069"/>
        <v>18</v>
      </c>
      <c r="B24">
        <v>2.0721563220833827</v>
      </c>
      <c r="C24">
        <f t="shared" si="1070"/>
        <v>12.6521164165149</v>
      </c>
      <c r="E24">
        <f t="shared" si="1071"/>
        <v>19</v>
      </c>
      <c r="F24">
        <f t="shared" si="1061"/>
        <v>3.2586457741079</v>
      </c>
      <c r="G24">
        <f t="shared" si="1072"/>
        <v>2.4780966715311998</v>
      </c>
      <c r="J24" t="s">
        <v>509</v>
      </c>
      <c r="K24" s="10">
        <f>K19*(1+LN(2*PI()))+K22</f>
        <v>308.16656921046501</v>
      </c>
      <c r="V24">
        <f t="shared" si="1063"/>
        <v>19</v>
      </c>
      <c r="W24">
        <f t="shared" si="1064"/>
        <v>3.2586457741079</v>
      </c>
      <c r="X24">
        <f t="shared" si="1065"/>
        <v>2.4780966715311998</v>
      </c>
      <c r="Y24">
        <f t="shared" si="1066"/>
        <v>0.78054910257669996</v>
      </c>
      <c r="Z24">
        <f t="shared" si="1052"/>
        <v>1.02446443399141</v>
      </c>
      <c r="AA24">
        <f t="shared" si="1067"/>
        <v>-1.22736419251503</v>
      </c>
      <c r="AB24">
        <f t="shared" si="1068"/>
        <v>2.7884623976684302</v>
      </c>
      <c r="AD24">
        <f t="shared" si="1073"/>
        <v>19</v>
      </c>
      <c r="AE24">
        <f t="shared" si="1062"/>
        <v>13.4063291686354</v>
      </c>
    </row>
    <row r="25">
      <c r="A25">
        <f t="shared" si="1069"/>
        <v>19</v>
      </c>
      <c r="B25">
        <v>1.9642789414916848</v>
      </c>
      <c r="C25">
        <f t="shared" si="1070"/>
        <v>13.4063291686354</v>
      </c>
      <c r="E25">
        <f t="shared" si="1071"/>
        <v>20</v>
      </c>
      <c r="F25">
        <f t="shared" si="1061"/>
        <v>2.0835345356564998</v>
      </c>
      <c r="G25">
        <f t="shared" si="1072"/>
        <v>0.84147397061038998</v>
      </c>
      <c r="J25" t="s">
        <v>510</v>
      </c>
      <c r="K25" s="13">
        <f>K19*(1+LN(2*PI()))+K23</f>
        <v>318.74413280702998</v>
      </c>
      <c r="V25">
        <f t="shared" si="1063"/>
        <v>20</v>
      </c>
      <c r="W25">
        <f t="shared" si="1064"/>
        <v>2.0835345356564998</v>
      </c>
      <c r="X25">
        <f t="shared" si="1065"/>
        <v>0.84147397061038998</v>
      </c>
      <c r="Y25">
        <f t="shared" si="1066"/>
        <v>1.2420605650461101</v>
      </c>
      <c r="Z25">
        <f t="shared" si="1052"/>
        <v>1.02446443399141</v>
      </c>
      <c r="AA25">
        <f t="shared" si="1067"/>
        <v>-0.76585273004562004</v>
      </c>
      <c r="AB25">
        <f t="shared" si="1068"/>
        <v>3.2499738601378398</v>
      </c>
      <c r="AD25">
        <f t="shared" si="1073"/>
        <v>20</v>
      </c>
      <c r="AE25">
        <f t="shared" si="1062"/>
        <v>12.231217930184</v>
      </c>
    </row>
    <row r="26">
      <c r="A26">
        <f t="shared" si="1069"/>
        <v>20</v>
      </c>
      <c r="B26">
        <v>0.23964330043753548</v>
      </c>
      <c r="C26">
        <f t="shared" si="1070"/>
        <v>12.231217930184</v>
      </c>
      <c r="E26">
        <f t="shared" si="1071"/>
        <v>21</v>
      </c>
      <c r="F26">
        <f t="shared" si="1061"/>
        <v>1.9692910614318</v>
      </c>
      <c r="G26">
        <f t="shared" si="1072"/>
        <v>0.81380034877764307</v>
      </c>
      <c r="V26">
        <f t="shared" si="1063"/>
        <v>21</v>
      </c>
      <c r="W26">
        <f t="shared" si="1064"/>
        <v>1.9692910614318</v>
      </c>
      <c r="X26">
        <f t="shared" si="1065"/>
        <v>0.81380034877764307</v>
      </c>
      <c r="Y26">
        <f t="shared" si="1066"/>
        <v>1.15549071265416</v>
      </c>
      <c r="Z26">
        <f t="shared" si="1052"/>
        <v>1.02446443399141</v>
      </c>
      <c r="AA26">
        <f t="shared" si="1067"/>
        <v>-0.85242258243756996</v>
      </c>
      <c r="AB26">
        <f t="shared" si="1068"/>
        <v>3.16340400774589</v>
      </c>
      <c r="AD26">
        <f t="shared" si="1073"/>
        <v>21</v>
      </c>
      <c r="AE26">
        <f t="shared" si="1062"/>
        <v>12.1169744559593</v>
      </c>
    </row>
    <row r="27">
      <c r="A27">
        <f t="shared" si="1069"/>
        <v>21</v>
      </c>
      <c r="B27">
        <v>0.60305056491796249</v>
      </c>
      <c r="C27">
        <f t="shared" si="1070"/>
        <v>12.1169744559593</v>
      </c>
      <c r="E27">
        <f t="shared" si="1071"/>
        <v>22</v>
      </c>
      <c r="F27">
        <f t="shared" si="1061"/>
        <v>0.31220549983340001</v>
      </c>
      <c r="G27">
        <f t="shared" si="1072"/>
        <v>-0.77094749467217005</v>
      </c>
      <c r="V27">
        <f t="shared" si="1063"/>
        <v>22</v>
      </c>
      <c r="W27">
        <f t="shared" si="1064"/>
        <v>0.31220549983340001</v>
      </c>
      <c r="X27">
        <f t="shared" si="1065"/>
        <v>-0.77094749467217005</v>
      </c>
      <c r="Y27">
        <f t="shared" si="1066"/>
        <v>1.08315299450557</v>
      </c>
      <c r="Z27">
        <f t="shared" si="1052"/>
        <v>1.02446443399141</v>
      </c>
      <c r="AA27">
        <f t="shared" si="1067"/>
        <v>-0.92476030058615988</v>
      </c>
      <c r="AB27">
        <f t="shared" si="1068"/>
        <v>3.0910662895973</v>
      </c>
      <c r="AD27">
        <f t="shared" si="1073"/>
        <v>22</v>
      </c>
      <c r="AE27">
        <f t="shared" si="1062"/>
        <v>10.459888894360899</v>
      </c>
    </row>
    <row r="28">
      <c r="A28">
        <f t="shared" si="1069"/>
        <v>22</v>
      </c>
      <c r="B28">
        <v>-0.90138311182696318</v>
      </c>
      <c r="C28">
        <f t="shared" si="1070"/>
        <v>10.459888894360899</v>
      </c>
      <c r="E28">
        <f t="shared" si="1071"/>
        <v>23</v>
      </c>
      <c r="F28">
        <f t="shared" si="1061"/>
        <v>-0.70122572344630996</v>
      </c>
      <c r="G28">
        <f t="shared" si="1072"/>
        <v>-1.3106212560175701</v>
      </c>
      <c r="V28">
        <f t="shared" si="1063"/>
        <v>23</v>
      </c>
      <c r="W28">
        <f t="shared" si="1064"/>
        <v>-0.70122572344630996</v>
      </c>
      <c r="X28">
        <f t="shared" si="1065"/>
        <v>-1.3106212560175701</v>
      </c>
      <c r="Y28">
        <f t="shared" si="1066"/>
        <v>0.60939553257126</v>
      </c>
      <c r="Z28">
        <f t="shared" si="1052"/>
        <v>1.02446443399141</v>
      </c>
      <c r="AA28">
        <f t="shared" si="1067"/>
        <v>-1.3985177625204701</v>
      </c>
      <c r="AB28">
        <f t="shared" si="1068"/>
        <v>2.6173088276629901</v>
      </c>
      <c r="AD28">
        <f t="shared" si="1073"/>
        <v>23</v>
      </c>
      <c r="AE28">
        <f t="shared" si="1062"/>
        <v>9.4464576710811894</v>
      </c>
    </row>
    <row r="29">
      <c r="A29">
        <f t="shared" si="1069"/>
        <v>23</v>
      </c>
      <c r="B29">
        <v>-1.0557411773368033</v>
      </c>
      <c r="C29">
        <f t="shared" si="1070"/>
        <v>9.4464576710811894</v>
      </c>
      <c r="E29">
        <f t="shared" si="1071"/>
        <v>24</v>
      </c>
      <c r="F29">
        <f t="shared" si="1061"/>
        <v>1.0333470402667999</v>
      </c>
      <c r="G29">
        <f t="shared" si="1072"/>
        <v>0.92257472047690603</v>
      </c>
      <c r="V29">
        <f t="shared" si="1063"/>
        <v>24</v>
      </c>
      <c r="W29">
        <f t="shared" si="1064"/>
        <v>1.0333470402667999</v>
      </c>
      <c r="X29">
        <f t="shared" si="1065"/>
        <v>0.92257472047690603</v>
      </c>
      <c r="Y29">
        <f t="shared" si="1066"/>
        <v>0.11077231978989402</v>
      </c>
      <c r="Z29">
        <f t="shared" si="1052"/>
        <v>1.02446443399141</v>
      </c>
      <c r="AA29">
        <f t="shared" si="1067"/>
        <v>-1.89714097530184</v>
      </c>
      <c r="AB29">
        <f t="shared" si="1068"/>
        <v>2.11868561488162</v>
      </c>
      <c r="AD29">
        <f t="shared" si="1073"/>
        <v>24</v>
      </c>
      <c r="AE29">
        <f t="shared" si="1062"/>
        <v>11.1810304347943</v>
      </c>
    </row>
    <row r="30">
      <c r="A30">
        <f t="shared" si="1069"/>
        <v>24</v>
      </c>
      <c r="B30">
        <v>1.3573618295701022</v>
      </c>
      <c r="C30">
        <f t="shared" si="1070"/>
        <v>11.1810304347943</v>
      </c>
      <c r="E30">
        <f t="shared" si="1071"/>
        <v>25</v>
      </c>
      <c r="F30">
        <f t="shared" si="1061"/>
        <v>-2.5623231781818498</v>
      </c>
      <c r="G30">
        <f t="shared" si="1072"/>
        <v>-2.8896886258264201</v>
      </c>
      <c r="V30">
        <f t="shared" si="1063"/>
        <v>25</v>
      </c>
      <c r="W30">
        <f t="shared" si="1064"/>
        <v>-2.5623231781818498</v>
      </c>
      <c r="X30">
        <f t="shared" si="1065"/>
        <v>-2.8896886258264201</v>
      </c>
      <c r="Y30">
        <f t="shared" si="1066"/>
        <v>0.32736544764456998</v>
      </c>
      <c r="Z30">
        <f t="shared" si="1052"/>
        <v>1.02446443399141</v>
      </c>
      <c r="AA30">
        <f t="shared" si="1067"/>
        <v>-1.68054784744716</v>
      </c>
      <c r="AB30">
        <f t="shared" si="1068"/>
        <v>2.3352787427363002</v>
      </c>
      <c r="AD30">
        <f t="shared" si="1073"/>
        <v>25</v>
      </c>
      <c r="AE30">
        <f t="shared" si="1062"/>
        <v>7.5853602163456504</v>
      </c>
    </row>
    <row r="31">
      <c r="A31">
        <f t="shared" si="1069"/>
        <v>25</v>
      </c>
      <c r="B31">
        <v>-2.969888722096329</v>
      </c>
      <c r="C31">
        <f t="shared" si="1070"/>
        <v>7.5853602163456504</v>
      </c>
      <c r="E31">
        <f t="shared" si="1071"/>
        <v>26</v>
      </c>
      <c r="F31">
        <f t="shared" si="1061"/>
        <v>0.8308484668842</v>
      </c>
      <c r="G31">
        <f t="shared" si="1072"/>
        <v>1.3498077605332099</v>
      </c>
      <c r="V31">
        <f t="shared" si="1063"/>
        <v>26</v>
      </c>
      <c r="W31">
        <f t="shared" si="1064"/>
        <v>0.8308484668842</v>
      </c>
      <c r="X31">
        <f t="shared" si="1065"/>
        <v>1.3498077605332099</v>
      </c>
      <c r="Y31">
        <f t="shared" si="1066"/>
        <v>-0.51895929364900995</v>
      </c>
      <c r="Z31">
        <f t="shared" si="1052"/>
        <v>1.02446443399141</v>
      </c>
      <c r="AA31">
        <f t="shared" si="1067"/>
        <v>-2.5268725887407402</v>
      </c>
      <c r="AB31">
        <f t="shared" si="1068"/>
        <v>1.4889540014427201</v>
      </c>
      <c r="AD31">
        <f t="shared" si="1073"/>
        <v>26</v>
      </c>
      <c r="AE31">
        <f t="shared" si="1062"/>
        <v>10.9785318614117</v>
      </c>
    </row>
    <row r="32">
      <c r="A32">
        <f t="shared" si="1069"/>
        <v>26</v>
      </c>
      <c r="B32">
        <v>2.0748019655504284</v>
      </c>
      <c r="C32">
        <f t="shared" si="1070"/>
        <v>10.9785318614117</v>
      </c>
      <c r="E32">
        <f t="shared" si="1071"/>
        <v>27</v>
      </c>
      <c r="F32">
        <f t="shared" si="1061"/>
        <v>0.40254181409830092</v>
      </c>
      <c r="G32">
        <f t="shared" si="1072"/>
        <v>0.43502569123553203</v>
      </c>
      <c r="V32">
        <f t="shared" si="1063"/>
        <v>27</v>
      </c>
      <c r="W32">
        <f t="shared" si="1064"/>
        <v>0.40254181409830092</v>
      </c>
      <c r="X32">
        <f t="shared" si="1065"/>
        <v>0.43502569123553203</v>
      </c>
      <c r="Y32">
        <f t="shared" si="1066"/>
        <v>-3.2483877137230999e-02</v>
      </c>
      <c r="Z32">
        <f t="shared" si="1052"/>
        <v>1.02446443399141</v>
      </c>
      <c r="AA32">
        <f t="shared" si="1067"/>
        <v>-2.04039717222896</v>
      </c>
      <c r="AB32">
        <f t="shared" si="1068"/>
        <v>1.9754294179545</v>
      </c>
      <c r="AD32">
        <f t="shared" si="1073"/>
        <v>27</v>
      </c>
      <c r="AE32">
        <f t="shared" si="1062"/>
        <v>10.5502252086258</v>
      </c>
    </row>
    <row r="33">
      <c r="A33">
        <f t="shared" si="1069"/>
        <v>27</v>
      </c>
      <c r="B33">
        <v>0.28021329874765349</v>
      </c>
      <c r="C33">
        <f t="shared" si="1070"/>
        <v>10.5502252086258</v>
      </c>
      <c r="E33">
        <f t="shared" si="1071"/>
        <v>28</v>
      </c>
      <c r="F33">
        <f t="shared" si="1061"/>
        <v>1.0797780365176</v>
      </c>
      <c r="G33">
        <f t="shared" si="1072"/>
        <v>0.98903576201050192</v>
      </c>
      <c r="V33">
        <f t="shared" si="1063"/>
        <v>28</v>
      </c>
      <c r="W33">
        <f t="shared" si="1064"/>
        <v>1.0797780365176</v>
      </c>
      <c r="X33">
        <f t="shared" si="1065"/>
        <v>0.98903576201050192</v>
      </c>
      <c r="Y33">
        <f t="shared" si="1066"/>
        <v>9.0742274507097986e-02</v>
      </c>
      <c r="Z33">
        <f t="shared" si="1052"/>
        <v>1.02446443399141</v>
      </c>
      <c r="AA33">
        <f t="shared" si="1067"/>
        <v>-1.91717102058463</v>
      </c>
      <c r="AB33">
        <f t="shared" si="1068"/>
        <v>2.0986555695988298</v>
      </c>
      <c r="AD33">
        <f t="shared" si="1073"/>
        <v>28</v>
      </c>
      <c r="AE33">
        <f t="shared" si="1062"/>
        <v>11.2274614310451</v>
      </c>
    </row>
    <row r="34">
      <c r="A34">
        <f t="shared" si="1069"/>
        <v>28</v>
      </c>
      <c r="B34">
        <v>0.89834644475651204</v>
      </c>
      <c r="C34">
        <f t="shared" si="1070"/>
        <v>11.2274614310451</v>
      </c>
      <c r="E34">
        <f t="shared" si="1071"/>
        <v>29</v>
      </c>
      <c r="F34">
        <f t="shared" si="1061"/>
        <v>-1.0715120689957101</v>
      </c>
      <c r="G34">
        <f t="shared" si="1072"/>
        <v>-1.40142520618488</v>
      </c>
      <c r="V34">
        <f t="shared" si="1063"/>
        <v>29</v>
      </c>
      <c r="W34">
        <f t="shared" si="1064"/>
        <v>-1.0715120689957101</v>
      </c>
      <c r="X34">
        <f t="shared" si="1065"/>
        <v>-1.40142520618488</v>
      </c>
      <c r="Y34">
        <f t="shared" si="1066"/>
        <v>0.32991313718916998</v>
      </c>
      <c r="Z34">
        <f t="shared" si="1052"/>
        <v>1.02446443399141</v>
      </c>
      <c r="AA34">
        <f t="shared" si="1067"/>
        <v>-1.6780001579025601</v>
      </c>
      <c r="AB34">
        <f t="shared" si="1068"/>
        <v>2.3378264322809001</v>
      </c>
      <c r="AD34">
        <f t="shared" si="1073"/>
        <v>29</v>
      </c>
      <c r="AE34">
        <f t="shared" si="1062"/>
        <v>9.0761713255317904</v>
      </c>
    </row>
    <row r="35">
      <c r="A35">
        <f t="shared" si="1069"/>
        <v>29</v>
      </c>
      <c r="B35">
        <v>-1.603382387248506</v>
      </c>
      <c r="C35">
        <f t="shared" si="1070"/>
        <v>9.0761713255317904</v>
      </c>
      <c r="E35">
        <f t="shared" si="1071"/>
        <v>30</v>
      </c>
      <c r="F35">
        <f t="shared" si="1061"/>
        <v>-0.238187743618889</v>
      </c>
      <c r="G35">
        <f t="shared" si="1072"/>
        <v>-0.11503770239304401</v>
      </c>
      <c r="V35">
        <f t="shared" si="1063"/>
        <v>30</v>
      </c>
      <c r="W35">
        <f t="shared" si="1064"/>
        <v>-0.238187743618889</v>
      </c>
      <c r="X35">
        <f t="shared" si="1065"/>
        <v>-0.11503770239304401</v>
      </c>
      <c r="Y35">
        <f t="shared" si="1066"/>
        <v>-0.12315004122584501</v>
      </c>
      <c r="Z35">
        <f t="shared" si="1052"/>
        <v>1.02446443399141</v>
      </c>
      <c r="AA35">
        <f t="shared" si="1067"/>
        <v>-2.1310633363175802</v>
      </c>
      <c r="AB35">
        <f t="shared" si="1068"/>
        <v>1.8847632538658901</v>
      </c>
      <c r="AD35">
        <f t="shared" si="1073"/>
        <v>30</v>
      </c>
      <c r="AE35">
        <f t="shared" si="1062"/>
        <v>9.9094956509086103</v>
      </c>
    </row>
    <row r="36">
      <c r="A36">
        <f t="shared" si="1069"/>
        <v>30</v>
      </c>
      <c r="B36">
        <v>0.23549924558665486</v>
      </c>
      <c r="C36">
        <f t="shared" si="1070"/>
        <v>9.9094956509086103</v>
      </c>
      <c r="E36">
        <f t="shared" si="1071"/>
        <v>31</v>
      </c>
      <c r="F36">
        <f t="shared" si="1061"/>
        <v>1.5359521764537001</v>
      </c>
      <c r="G36">
        <f t="shared" si="1072"/>
        <v>1.6588838677237201</v>
      </c>
      <c r="V36">
        <f t="shared" si="1063"/>
        <v>31</v>
      </c>
      <c r="W36">
        <f t="shared" si="1064"/>
        <v>1.5359521764537001</v>
      </c>
      <c r="X36">
        <f t="shared" si="1065"/>
        <v>1.6588838677237201</v>
      </c>
      <c r="Y36">
        <f t="shared" si="1066"/>
        <v>-0.12293169127001999</v>
      </c>
      <c r="Z36">
        <f t="shared" si="1052"/>
        <v>1.02446443399141</v>
      </c>
      <c r="AA36">
        <f t="shared" si="1067"/>
        <v>-2.1308449863617498</v>
      </c>
      <c r="AB36">
        <f t="shared" si="1068"/>
        <v>1.88498160382171</v>
      </c>
      <c r="AD36">
        <f t="shared" si="1073"/>
        <v>31</v>
      </c>
      <c r="AE36">
        <f t="shared" si="1062"/>
        <v>11.683635570981201</v>
      </c>
    </row>
    <row r="37">
      <c r="A37">
        <f t="shared" si="1069"/>
        <v>31</v>
      </c>
      <c r="B37">
        <v>1.7940884644624944</v>
      </c>
      <c r="C37">
        <f t="shared" si="1070"/>
        <v>11.683635570981201</v>
      </c>
      <c r="E37">
        <f t="shared" si="1071"/>
        <v>32</v>
      </c>
      <c r="F37">
        <f t="shared" si="1061"/>
        <v>-0.75856528548183999</v>
      </c>
      <c r="G37">
        <f t="shared" si="1072"/>
        <v>-1.10529814753207</v>
      </c>
      <c r="V37">
        <f t="shared" si="1063"/>
        <v>32</v>
      </c>
      <c r="W37">
        <f t="shared" si="1064"/>
        <v>-0.75856528548183999</v>
      </c>
      <c r="X37">
        <f t="shared" si="1065"/>
        <v>-1.10529814753207</v>
      </c>
      <c r="Y37">
        <f t="shared" si="1066"/>
        <v>0.34673286205023002</v>
      </c>
      <c r="Z37">
        <f t="shared" si="1052"/>
        <v>1.02446443399141</v>
      </c>
      <c r="AA37">
        <f t="shared" si="1067"/>
        <v>-1.6611804330415001</v>
      </c>
      <c r="AB37">
        <f t="shared" si="1068"/>
        <v>2.3546461571419601</v>
      </c>
      <c r="AD37">
        <f t="shared" si="1073"/>
        <v>32</v>
      </c>
      <c r="AE37">
        <f t="shared" si="1062"/>
        <v>9.3891181090456595</v>
      </c>
    </row>
    <row r="38">
      <c r="A38">
        <f t="shared" si="1069"/>
        <v>32</v>
      </c>
      <c r="B38">
        <v>-1.4306090977486423</v>
      </c>
      <c r="C38">
        <f t="shared" si="1070"/>
        <v>9.3891181090456595</v>
      </c>
      <c r="E38">
        <f t="shared" si="1071"/>
        <v>33</v>
      </c>
      <c r="F38">
        <f t="shared" si="1061"/>
        <v>1.1332839584359999</v>
      </c>
      <c r="G38">
        <f t="shared" si="1072"/>
        <v>1.1654270902041699</v>
      </c>
      <c r="V38">
        <f t="shared" si="1063"/>
        <v>33</v>
      </c>
      <c r="W38">
        <f t="shared" si="1064"/>
        <v>1.1332839584359999</v>
      </c>
      <c r="X38">
        <f t="shared" si="1065"/>
        <v>1.1654270902041699</v>
      </c>
      <c r="Y38">
        <f t="shared" si="1066"/>
        <v>-3.2143131768169998e-02</v>
      </c>
      <c r="Z38">
        <f t="shared" si="1052"/>
        <v>1.02446443399141</v>
      </c>
      <c r="AA38">
        <f t="shared" si="1067"/>
        <v>-2.0400564268599002</v>
      </c>
      <c r="AB38">
        <f t="shared" si="1068"/>
        <v>1.97577016332356</v>
      </c>
      <c r="AD38">
        <f t="shared" si="1073"/>
        <v>33</v>
      </c>
      <c r="AE38">
        <f t="shared" si="1062"/>
        <v>11.280967352963501</v>
      </c>
    </row>
    <row r="39">
      <c r="A39">
        <f t="shared" si="1069"/>
        <v>33</v>
      </c>
      <c r="B39">
        <v>1.4224628570818738</v>
      </c>
      <c r="C39">
        <f t="shared" si="1070"/>
        <v>11.280967352963501</v>
      </c>
      <c r="E39">
        <f t="shared" si="1071"/>
        <v>34</v>
      </c>
      <c r="F39">
        <f t="shared" si="1061"/>
        <v>-1.06998334019012</v>
      </c>
      <c r="G39">
        <f t="shared" si="1072"/>
        <v>-1.35429551314402</v>
      </c>
      <c r="V39">
        <f t="shared" si="1063"/>
        <v>34</v>
      </c>
      <c r="W39">
        <f t="shared" si="1064"/>
        <v>-1.06998334019012</v>
      </c>
      <c r="X39">
        <f t="shared" si="1065"/>
        <v>-1.35429551314402</v>
      </c>
      <c r="Y39">
        <f t="shared" si="1066"/>
        <v>0.28431217295389999</v>
      </c>
      <c r="Z39">
        <f t="shared" si="1052"/>
        <v>1.02446443399141</v>
      </c>
      <c r="AA39">
        <f t="shared" si="1067"/>
        <v>-1.72360112213783</v>
      </c>
      <c r="AB39">
        <f t="shared" si="1068"/>
        <v>2.29222546804563</v>
      </c>
      <c r="AD39">
        <f t="shared" si="1073"/>
        <v>34</v>
      </c>
      <c r="AE39">
        <f t="shared" si="1062"/>
        <v>9.0777000543373791</v>
      </c>
    </row>
    <row r="40">
      <c r="A40">
        <f t="shared" si="1069"/>
        <v>34</v>
      </c>
      <c r="B40">
        <v>-1.5344845213207501</v>
      </c>
      <c r="C40">
        <f t="shared" si="1070"/>
        <v>9.0777000543373791</v>
      </c>
      <c r="E40">
        <f t="shared" si="1071"/>
        <v>35</v>
      </c>
      <c r="F40">
        <f t="shared" si="1061"/>
        <v>-0.72583131481729901</v>
      </c>
      <c r="G40">
        <f t="shared" si="1072"/>
        <v>-0.58090897811420905</v>
      </c>
      <c r="V40">
        <f t="shared" si="1063"/>
        <v>35</v>
      </c>
      <c r="W40">
        <f t="shared" si="1064"/>
        <v>-0.72583131481729901</v>
      </c>
      <c r="X40">
        <f t="shared" si="1065"/>
        <v>-0.58090897811420905</v>
      </c>
      <c r="Y40">
        <f t="shared" si="1066"/>
        <v>-0.14492233670308999</v>
      </c>
      <c r="Z40">
        <f t="shared" si="1052"/>
        <v>1.02446443399141</v>
      </c>
      <c r="AA40">
        <f t="shared" si="1067"/>
        <v>-2.1528356317948201</v>
      </c>
      <c r="AB40">
        <f t="shared" si="1068"/>
        <v>1.8629909583886399</v>
      </c>
      <c r="AD40">
        <f t="shared" si="1073"/>
        <v>35</v>
      </c>
      <c r="AE40">
        <f t="shared" si="1062"/>
        <v>9.4218520797102006</v>
      </c>
    </row>
    <row r="41">
      <c r="A41">
        <f t="shared" si="1069"/>
        <v>35</v>
      </c>
      <c r="B41">
        <v>-0.23943486259011687</v>
      </c>
      <c r="C41">
        <f t="shared" si="1070"/>
        <v>9.4218520797102006</v>
      </c>
      <c r="E41">
        <f t="shared" si="1071"/>
        <v>36</v>
      </c>
      <c r="F41">
        <f t="shared" si="1061"/>
        <v>0.62098737219870004</v>
      </c>
      <c r="G41">
        <f t="shared" si="1072"/>
        <v>0.88357121210690814</v>
      </c>
      <c r="V41">
        <f t="shared" si="1063"/>
        <v>36</v>
      </c>
      <c r="W41">
        <f t="shared" si="1064"/>
        <v>0.62098737219870004</v>
      </c>
      <c r="X41">
        <f t="shared" si="1065"/>
        <v>0.88357121210690814</v>
      </c>
      <c r="Y41">
        <f t="shared" si="1066"/>
        <v>-0.26258383990820799</v>
      </c>
      <c r="Z41">
        <f t="shared" si="1052"/>
        <v>1.02446443399141</v>
      </c>
      <c r="AA41">
        <f t="shared" si="1067"/>
        <v>-2.2704971349999399</v>
      </c>
      <c r="AB41">
        <f t="shared" si="1068"/>
        <v>1.7453294551835199</v>
      </c>
      <c r="AD41">
        <f t="shared" si="1073"/>
        <v>36</v>
      </c>
      <c r="AE41">
        <f t="shared" si="1062"/>
        <v>10.768670766726199</v>
      </c>
    </row>
    <row r="42">
      <c r="A42">
        <f t="shared" si="1069"/>
        <v>36</v>
      </c>
      <c r="B42">
        <v>1.1254873384110666</v>
      </c>
      <c r="C42">
        <f t="shared" si="1070"/>
        <v>10.768670766726199</v>
      </c>
      <c r="E42">
        <f t="shared" si="1071"/>
        <v>37</v>
      </c>
      <c r="F42">
        <f t="shared" si="1061"/>
        <v>-0.102996968306899</v>
      </c>
      <c r="G42">
        <f t="shared" si="1072"/>
        <v>-0.139651401744075</v>
      </c>
      <c r="V42">
        <f t="shared" si="1063"/>
        <v>37</v>
      </c>
      <c r="W42">
        <f t="shared" si="1064"/>
        <v>-0.102996968306899</v>
      </c>
      <c r="X42">
        <f t="shared" si="1065"/>
        <v>-0.139651401744075</v>
      </c>
      <c r="Y42">
        <f t="shared" si="1066"/>
        <v>3.6654433437175997e-02</v>
      </c>
      <c r="Z42">
        <f t="shared" si="1052"/>
        <v>1.02446443399141</v>
      </c>
      <c r="AA42">
        <f t="shared" si="1067"/>
        <v>-1.9712588616545501</v>
      </c>
      <c r="AB42">
        <f t="shared" si="1068"/>
        <v>2.0445677285289099</v>
      </c>
      <c r="AD42">
        <f t="shared" si="1073"/>
        <v>37</v>
      </c>
      <c r="AE42">
        <f t="shared" si="1062"/>
        <v>10.044686426220601</v>
      </c>
    </row>
    <row r="43">
      <c r="A43">
        <f t="shared" si="1069"/>
        <v>37</v>
      </c>
      <c r="B43">
        <v>-0.26828564280553119</v>
      </c>
      <c r="C43">
        <f t="shared" si="1070"/>
        <v>10.044686426220601</v>
      </c>
      <c r="E43">
        <f t="shared" si="1071"/>
        <v>38</v>
      </c>
      <c r="F43">
        <f t="shared" si="1061"/>
        <v>-0.64503585365542904</v>
      </c>
      <c r="G43">
        <f t="shared" si="1072"/>
        <v>-0.63560181194783705</v>
      </c>
      <c r="V43">
        <f t="shared" si="1063"/>
        <v>38</v>
      </c>
      <c r="W43">
        <f t="shared" si="1064"/>
        <v>-0.64503585365542904</v>
      </c>
      <c r="X43">
        <f t="shared" si="1065"/>
        <v>-0.63560181194783705</v>
      </c>
      <c r="Y43">
        <f t="shared" si="1066"/>
        <v>-9.4340417075919995e-03</v>
      </c>
      <c r="Z43">
        <f t="shared" si="1052"/>
        <v>1.02446443399141</v>
      </c>
      <c r="AA43">
        <f t="shared" si="1067"/>
        <v>-2.01734733679932</v>
      </c>
      <c r="AB43">
        <f t="shared" si="1068"/>
        <v>1.99847925338414</v>
      </c>
      <c r="AD43">
        <f t="shared" si="1073"/>
        <v>38</v>
      </c>
      <c r="AE43">
        <f t="shared" si="1062"/>
        <v>9.5026475408720703</v>
      </c>
    </row>
    <row r="44">
      <c r="A44">
        <f t="shared" si="1069"/>
        <v>38</v>
      </c>
      <c r="B44">
        <v>-0.5822900860434399</v>
      </c>
      <c r="C44">
        <f t="shared" si="1070"/>
        <v>9.5026475408720703</v>
      </c>
      <c r="E44">
        <f t="shared" si="1071"/>
        <v>39</v>
      </c>
      <c r="F44">
        <f t="shared" si="1061"/>
        <v>1.8689517506824</v>
      </c>
      <c r="G44">
        <f t="shared" si="1072"/>
        <v>2.0442602219158399</v>
      </c>
      <c r="V44">
        <f t="shared" si="1063"/>
        <v>39</v>
      </c>
      <c r="W44">
        <f t="shared" si="1064"/>
        <v>1.8689517506824</v>
      </c>
      <c r="X44">
        <f t="shared" si="1065"/>
        <v>2.0442602219158399</v>
      </c>
      <c r="Y44">
        <f t="shared" si="1066"/>
        <v>-0.17530847123344001</v>
      </c>
      <c r="Z44">
        <f t="shared" si="1052"/>
        <v>1.02446443399141</v>
      </c>
      <c r="AA44">
        <f t="shared" si="1067"/>
        <v>-2.1832217663251701</v>
      </c>
      <c r="AB44">
        <f t="shared" si="1068"/>
        <v>1.8326048238582899</v>
      </c>
      <c r="AD44">
        <f t="shared" si="1073"/>
        <v>39</v>
      </c>
      <c r="AE44">
        <f t="shared" si="1062"/>
        <v>12.0166351452099</v>
      </c>
    </row>
    <row r="45">
      <c r="A45">
        <f t="shared" si="1069"/>
        <v>39</v>
      </c>
      <c r="B45">
        <v>2.2483238493907365</v>
      </c>
      <c r="C45">
        <f t="shared" si="1070"/>
        <v>12.0166351452099</v>
      </c>
      <c r="E45">
        <f t="shared" si="1071"/>
        <v>40</v>
      </c>
      <c r="F45">
        <f t="shared" si="1061"/>
        <v>-0.54010097006394997</v>
      </c>
      <c r="G45">
        <f t="shared" si="1072"/>
        <v>-0.94949606794986996</v>
      </c>
      <c r="V45">
        <f t="shared" si="1063"/>
        <v>40</v>
      </c>
      <c r="W45">
        <f t="shared" si="1064"/>
        <v>-0.54010097006394997</v>
      </c>
      <c r="X45">
        <f t="shared" si="1065"/>
        <v>-0.94949606794986996</v>
      </c>
      <c r="Y45">
        <f t="shared" si="1066"/>
        <v>0.40939509788591993</v>
      </c>
      <c r="Z45">
        <f t="shared" si="1052"/>
        <v>1.02446443399141</v>
      </c>
      <c r="AA45">
        <f t="shared" si="1067"/>
        <v>-1.59851819720581</v>
      </c>
      <c r="AB45">
        <f t="shared" si="1068"/>
        <v>2.4173083929776502</v>
      </c>
      <c r="AD45">
        <f t="shared" si="1073"/>
        <v>40</v>
      </c>
      <c r="AE45">
        <f t="shared" si="1062"/>
        <v>9.6075824244635495</v>
      </c>
    </row>
    <row r="46">
      <c r="A46">
        <f t="shared" si="1069"/>
        <v>40</v>
      </c>
      <c r="B46">
        <v>-1.3543974073052196</v>
      </c>
      <c r="C46">
        <f t="shared" si="1070"/>
        <v>9.6075824244635495</v>
      </c>
      <c r="E46">
        <f t="shared" si="1071"/>
        <v>41</v>
      </c>
      <c r="F46">
        <f t="shared" si="1061"/>
        <v>0.331115312082501</v>
      </c>
      <c r="G46">
        <f t="shared" si="1072"/>
        <v>0.27496366461295602</v>
      </c>
      <c r="V46">
        <f t="shared" si="1063"/>
        <v>41</v>
      </c>
      <c r="W46">
        <f t="shared" si="1064"/>
        <v>0.331115312082501</v>
      </c>
      <c r="X46">
        <f t="shared" si="1065"/>
        <v>0.27496366461295602</v>
      </c>
      <c r="Y46">
        <f t="shared" si="1066"/>
        <v>5.6151647469544999e-02</v>
      </c>
      <c r="Z46">
        <f t="shared" si="1052"/>
        <v>1.02446443399141</v>
      </c>
      <c r="AA46">
        <f t="shared" si="1067"/>
        <v>-1.95176164762219</v>
      </c>
      <c r="AB46">
        <f t="shared" si="1068"/>
        <v>2.0640649425612798</v>
      </c>
      <c r="AD46">
        <f t="shared" si="1073"/>
        <v>41</v>
      </c>
      <c r="AE46">
        <f t="shared" si="1062"/>
        <v>10.47879870661</v>
      </c>
    </row>
    <row r="47">
      <c r="A47">
        <f t="shared" si="1069"/>
        <v>41</v>
      </c>
      <c r="B47">
        <v>0.48261152802448642</v>
      </c>
      <c r="C47">
        <f t="shared" si="1070"/>
        <v>10.47879870661</v>
      </c>
      <c r="E47">
        <f t="shared" si="1071"/>
        <v>42</v>
      </c>
      <c r="F47">
        <f t="shared" si="1061"/>
        <v>-1.6537398409398999e-02</v>
      </c>
      <c r="G47">
        <f t="shared" si="1072"/>
        <v>-0.131481047014365</v>
      </c>
      <c r="V47">
        <f t="shared" si="1063"/>
        <v>42</v>
      </c>
      <c r="W47">
        <f t="shared" si="1064"/>
        <v>-1.6537398409398999e-02</v>
      </c>
      <c r="X47">
        <f t="shared" si="1065"/>
        <v>-0.131481047014365</v>
      </c>
      <c r="Y47">
        <f t="shared" si="1066"/>
        <v>0.114943648604966</v>
      </c>
      <c r="Z47">
        <f t="shared" si="1052"/>
        <v>1.02446443399141</v>
      </c>
      <c r="AA47">
        <f t="shared" si="1067"/>
        <v>-1.89296964648676</v>
      </c>
      <c r="AB47">
        <f t="shared" si="1068"/>
        <v>2.1228569436967</v>
      </c>
      <c r="AD47">
        <f t="shared" si="1073"/>
        <v>42</v>
      </c>
      <c r="AE47">
        <f t="shared" si="1062"/>
        <v>10.1311459961181</v>
      </c>
    </row>
    <row r="48">
      <c r="A48">
        <f t="shared" si="1069"/>
        <v>42</v>
      </c>
      <c r="B48">
        <v>-0.10749079290397742</v>
      </c>
      <c r="C48">
        <f t="shared" si="1070"/>
        <v>10.1311459961181</v>
      </c>
      <c r="E48">
        <f t="shared" si="1071"/>
        <v>43</v>
      </c>
      <c r="F48">
        <f t="shared" si="1061"/>
        <v>-0.83743040143354897</v>
      </c>
      <c r="G48">
        <f t="shared" si="1072"/>
        <v>-0.88895347963858895</v>
      </c>
      <c r="V48">
        <f t="shared" si="1063"/>
        <v>43</v>
      </c>
      <c r="W48">
        <f t="shared" si="1064"/>
        <v>-0.83743040143354897</v>
      </c>
      <c r="X48">
        <f t="shared" si="1065"/>
        <v>-0.88895347963858895</v>
      </c>
      <c r="Y48">
        <f t="shared" si="1066"/>
        <v>5.1523078205039992e-02</v>
      </c>
      <c r="Z48">
        <f t="shared" si="1052"/>
        <v>1.02446443399141</v>
      </c>
      <c r="AA48">
        <f t="shared" si="1067"/>
        <v>-1.95639021688669</v>
      </c>
      <c r="AB48">
        <f t="shared" si="1068"/>
        <v>2.0594363732967702</v>
      </c>
      <c r="AD48">
        <f t="shared" si="1073"/>
        <v>43</v>
      </c>
      <c r="AE48">
        <f t="shared" si="1062"/>
        <v>9.3102529930939504</v>
      </c>
    </row>
    <row r="49">
      <c r="A49">
        <f t="shared" si="1069"/>
        <v>43</v>
      </c>
      <c r="B49">
        <v>-0.80304736276954691</v>
      </c>
      <c r="C49">
        <f t="shared" si="1070"/>
        <v>9.3102529930939504</v>
      </c>
      <c r="E49">
        <f t="shared" si="1071"/>
        <v>44</v>
      </c>
      <c r="F49">
        <f t="shared" si="1061"/>
        <v>-0.19444593754757</v>
      </c>
      <c r="G49">
        <f t="shared" si="1072"/>
        <v>2.1382584579519998e-03</v>
      </c>
      <c r="V49">
        <f t="shared" si="1063"/>
        <v>44</v>
      </c>
      <c r="W49">
        <f t="shared" si="1064"/>
        <v>-0.19444593754757</v>
      </c>
      <c r="X49">
        <f t="shared" si="1065"/>
        <v>2.1382584579519998e-03</v>
      </c>
      <c r="Y49">
        <f t="shared" si="1066"/>
        <v>-0.19658419600552202</v>
      </c>
      <c r="Z49">
        <f t="shared" si="1052"/>
        <v>1.02446443399141</v>
      </c>
      <c r="AA49">
        <f t="shared" si="1067"/>
        <v>-2.2044974910972499</v>
      </c>
      <c r="AB49">
        <f t="shared" si="1068"/>
        <v>1.8113290990862101</v>
      </c>
      <c r="AD49">
        <f t="shared" si="1073"/>
        <v>44</v>
      </c>
      <c r="AE49">
        <f t="shared" si="1062"/>
        <v>9.9532374569799291</v>
      </c>
    </row>
    <row r="50">
      <c r="A50">
        <f t="shared" si="1069"/>
        <v>44</v>
      </c>
      <c r="B50">
        <v>0.2754508892602448</v>
      </c>
      <c r="C50">
        <f t="shared" si="1070"/>
        <v>9.9532374569799291</v>
      </c>
      <c r="E50">
        <f t="shared" si="1071"/>
        <v>45</v>
      </c>
      <c r="F50">
        <f t="shared" si="1061"/>
        <v>-0.21560042049792999</v>
      </c>
      <c r="G50">
        <f t="shared" si="1072"/>
        <v>-6.8532907659320005e-02</v>
      </c>
      <c r="V50">
        <f t="shared" si="1063"/>
        <v>45</v>
      </c>
      <c r="W50">
        <f t="shared" si="1064"/>
        <v>-0.21560042049792999</v>
      </c>
      <c r="X50">
        <f t="shared" si="1065"/>
        <v>-6.8532907659320005e-02</v>
      </c>
      <c r="Y50">
        <f t="shared" si="1066"/>
        <v>-0.14706751283861</v>
      </c>
      <c r="Z50">
        <f t="shared" si="1052"/>
        <v>1.02446443399141</v>
      </c>
      <c r="AA50">
        <f t="shared" si="1067"/>
        <v>-2.1549808079303401</v>
      </c>
      <c r="AB50">
        <f t="shared" si="1068"/>
        <v>1.8608457822531199</v>
      </c>
      <c r="AD50">
        <f t="shared" si="1073"/>
        <v>45</v>
      </c>
      <c r="AE50">
        <f t="shared" si="1062"/>
        <v>9.9320829740295693</v>
      </c>
    </row>
    <row r="51">
      <c r="A51">
        <f t="shared" si="1069"/>
        <v>45</v>
      </c>
      <c r="B51">
        <v>1.990693199567108e-02</v>
      </c>
      <c r="C51">
        <f t="shared" si="1070"/>
        <v>9.9320829740295693</v>
      </c>
      <c r="E51">
        <f t="shared" si="1071"/>
        <v>46</v>
      </c>
      <c r="F51">
        <f t="shared" si="1061"/>
        <v>1.4874185849612001</v>
      </c>
      <c r="G51">
        <f t="shared" si="1072"/>
        <v>1.6160038016634</v>
      </c>
      <c r="V51">
        <f t="shared" si="1063"/>
        <v>46</v>
      </c>
      <c r="W51">
        <f t="shared" si="1064"/>
        <v>1.4874185849612001</v>
      </c>
      <c r="X51">
        <f t="shared" si="1065"/>
        <v>1.6160038016634</v>
      </c>
      <c r="Y51">
        <f t="shared" si="1066"/>
        <v>-0.12858521670219999</v>
      </c>
      <c r="Z51">
        <f t="shared" si="1052"/>
        <v>1.02446443399141</v>
      </c>
      <c r="AA51">
        <f t="shared" si="1067"/>
        <v>-2.1364985117939299</v>
      </c>
      <c r="AB51">
        <f t="shared" si="1068"/>
        <v>1.8793280783895301</v>
      </c>
      <c r="AD51">
        <f t="shared" si="1073"/>
        <v>46</v>
      </c>
      <c r="AE51">
        <f t="shared" si="1062"/>
        <v>11.635101979488701</v>
      </c>
    </row>
    <row r="52">
      <c r="A52">
        <f t="shared" si="1069"/>
        <v>46</v>
      </c>
      <c r="B52">
        <v>1.6866252840670588</v>
      </c>
      <c r="C52">
        <f t="shared" si="1070"/>
        <v>11.635101979488701</v>
      </c>
      <c r="E52">
        <f t="shared" si="1071"/>
        <v>47</v>
      </c>
      <c r="F52">
        <f t="shared" si="1061"/>
        <v>0.28055942787080002</v>
      </c>
      <c r="G52">
        <f t="shared" si="1072"/>
        <v>-5.057868509040999e-02</v>
      </c>
      <c r="V52">
        <f t="shared" si="1063"/>
        <v>47</v>
      </c>
      <c r="W52">
        <f t="shared" si="1064"/>
        <v>0.28055942787080002</v>
      </c>
      <c r="X52">
        <f t="shared" si="1065"/>
        <v>-5.057868509040999e-02</v>
      </c>
      <c r="Y52">
        <f t="shared" si="1066"/>
        <v>0.33113811296120998</v>
      </c>
      <c r="Z52">
        <f t="shared" si="1052"/>
        <v>1.02446443399141</v>
      </c>
      <c r="AA52">
        <f t="shared" si="1067"/>
        <v>-1.6767751821305199</v>
      </c>
      <c r="AB52">
        <f t="shared" si="1068"/>
        <v>2.3390514080529399</v>
      </c>
      <c r="AD52">
        <f t="shared" si="1073"/>
        <v>47</v>
      </c>
      <c r="AE52">
        <f t="shared" si="1062"/>
        <v>10.4282428223983</v>
      </c>
    </row>
    <row r="53">
      <c r="A53">
        <f t="shared" si="1069"/>
        <v>47</v>
      </c>
      <c r="B53">
        <v>-0.37900350643042596</v>
      </c>
      <c r="C53">
        <f t="shared" si="1070"/>
        <v>10.4282428223983</v>
      </c>
      <c r="E53">
        <f t="shared" si="1071"/>
        <v>48</v>
      </c>
      <c r="F53">
        <f t="shared" si="1061"/>
        <v>-0.45345270877767002</v>
      </c>
      <c r="G53">
        <f t="shared" si="1072"/>
        <v>-0.68874869167766894</v>
      </c>
      <c r="V53">
        <f t="shared" si="1063"/>
        <v>48</v>
      </c>
      <c r="W53">
        <f t="shared" si="1064"/>
        <v>-0.45345270877767002</v>
      </c>
      <c r="X53">
        <f t="shared" si="1065"/>
        <v>-0.68874869167766894</v>
      </c>
      <c r="Y53">
        <f t="shared" si="1066"/>
        <v>0.23529598289999903</v>
      </c>
      <c r="Z53">
        <f t="shared" si="1052"/>
        <v>1.02446443399141</v>
      </c>
      <c r="AA53">
        <f t="shared" si="1067"/>
        <v>-1.7726173121917299</v>
      </c>
      <c r="AB53">
        <f t="shared" si="1068"/>
        <v>2.2432092779917299</v>
      </c>
      <c r="AD53">
        <f t="shared" si="1073"/>
        <v>48</v>
      </c>
      <c r="AE53">
        <f t="shared" si="1062"/>
        <v>9.6942306857498295</v>
      </c>
    </row>
    <row r="54">
      <c r="A54">
        <f t="shared" si="1069"/>
        <v>48</v>
      </c>
      <c r="B54">
        <v>-0.68133999121505795</v>
      </c>
      <c r="C54">
        <f t="shared" si="1070"/>
        <v>9.6942306857498295</v>
      </c>
      <c r="E54">
        <f t="shared" si="1071"/>
        <v>49</v>
      </c>
      <c r="F54">
        <f t="shared" si="1061"/>
        <v>2.1353357849299995e-02</v>
      </c>
      <c r="G54">
        <f t="shared" si="1072"/>
        <v>2.6937473152007004e-02</v>
      </c>
      <c r="V54">
        <f t="shared" si="1063"/>
        <v>49</v>
      </c>
      <c r="W54">
        <f t="shared" si="1064"/>
        <v>2.1353357849299995e-02</v>
      </c>
      <c r="X54">
        <f t="shared" si="1065"/>
        <v>2.6937473152007004e-02</v>
      </c>
      <c r="Y54">
        <f t="shared" si="1066"/>
        <v>-5.5841153027069998e-03</v>
      </c>
      <c r="Z54">
        <f t="shared" si="1052"/>
        <v>1.02446443399141</v>
      </c>
      <c r="AA54">
        <f t="shared" si="1067"/>
        <v>-2.0134974103944399</v>
      </c>
      <c r="AB54">
        <f t="shared" si="1068"/>
        <v>2.0023291797890201</v>
      </c>
      <c r="AD54">
        <f t="shared" si="1073"/>
        <v>49</v>
      </c>
      <c r="AE54">
        <f t="shared" si="1062"/>
        <v>10.169036752376799</v>
      </c>
    </row>
    <row r="55">
      <c r="A55">
        <f t="shared" si="1069"/>
        <v>49</v>
      </c>
      <c r="B55">
        <v>0.24680727410891504</v>
      </c>
      <c r="C55">
        <f t="shared" si="1070"/>
        <v>10.169036752376799</v>
      </c>
      <c r="E55">
        <f t="shared" si="1071"/>
        <v>50</v>
      </c>
      <c r="F55">
        <f t="shared" si="1061"/>
        <v>0.33897231806259998</v>
      </c>
      <c r="G55">
        <f t="shared" si="1072"/>
        <v>0.33603646033131801</v>
      </c>
      <c r="V55">
        <f t="shared" si="1063"/>
        <v>50</v>
      </c>
      <c r="W55">
        <f t="shared" si="1064"/>
        <v>0.33897231806259998</v>
      </c>
      <c r="X55">
        <f t="shared" si="1065"/>
        <v>0.33603646033131801</v>
      </c>
      <c r="Y55">
        <f t="shared" si="1066"/>
        <v>2.9358577312819998e-03</v>
      </c>
      <c r="Z55">
        <f t="shared" si="1052"/>
        <v>1.02446443399141</v>
      </c>
      <c r="AA55">
        <f t="shared" si="1067"/>
        <v>-2.0049774373604499</v>
      </c>
      <c r="AB55">
        <f t="shared" si="1068"/>
        <v>2.0108491528230101</v>
      </c>
      <c r="AD55">
        <f t="shared" si="1073"/>
        <v>50</v>
      </c>
      <c r="AE55">
        <f t="shared" si="1062"/>
        <v>10.4866557125901</v>
      </c>
    </row>
    <row r="56">
      <c r="A56">
        <f t="shared" si="1069"/>
        <v>50</v>
      </c>
      <c r="B56">
        <v>0.41769144074806713</v>
      </c>
      <c r="C56">
        <f t="shared" si="1070"/>
        <v>10.4866557125901</v>
      </c>
      <c r="E56">
        <f t="shared" si="1071"/>
        <v>51</v>
      </c>
      <c r="F56">
        <f t="shared" si="1061"/>
        <v>0.50846624552540098</v>
      </c>
      <c r="G56">
        <f t="shared" si="1072"/>
        <v>0.41732328094819698</v>
      </c>
      <c r="V56">
        <f t="shared" si="1063"/>
        <v>51</v>
      </c>
      <c r="W56">
        <f t="shared" si="1064"/>
        <v>0.50846624552540098</v>
      </c>
      <c r="X56">
        <f t="shared" si="1065"/>
        <v>0.41732328094819698</v>
      </c>
      <c r="Y56">
        <f t="shared" si="1066"/>
        <v>9.1142964577204e-02</v>
      </c>
      <c r="Z56">
        <f t="shared" si="1052"/>
        <v>1.02446443399141</v>
      </c>
      <c r="AA56">
        <f t="shared" si="1067"/>
        <v>-1.9167703305145301</v>
      </c>
      <c r="AB56">
        <f t="shared" si="1068"/>
        <v>2.0990562596689299</v>
      </c>
      <c r="AD56">
        <f t="shared" si="1073"/>
        <v>51</v>
      </c>
      <c r="AE56">
        <f t="shared" si="1062"/>
        <v>10.656149640052901</v>
      </c>
    </row>
    <row r="57">
      <c r="A57">
        <f t="shared" si="1069"/>
        <v>51</v>
      </c>
      <c r="B57">
        <v>0.39902892938942136</v>
      </c>
      <c r="C57">
        <f t="shared" si="1070"/>
        <v>10.656149640052901</v>
      </c>
      <c r="E57">
        <f t="shared" si="1071"/>
        <v>52</v>
      </c>
      <c r="F57">
        <f t="shared" si="1061"/>
        <v>-1.8365827911498999e-02</v>
      </c>
      <c r="G57">
        <f t="shared" si="1072"/>
        <v>-0.19726578515047599</v>
      </c>
      <c r="V57">
        <f t="shared" si="1063"/>
        <v>52</v>
      </c>
      <c r="W57">
        <f t="shared" si="1064"/>
        <v>-1.8365827911498999e-02</v>
      </c>
      <c r="X57">
        <f t="shared" si="1065"/>
        <v>-0.19726578515047599</v>
      </c>
      <c r="Y57">
        <f t="shared" si="1066"/>
        <v>0.178899957238977</v>
      </c>
      <c r="Z57">
        <f t="shared" si="1052"/>
        <v>1.02446443399141</v>
      </c>
      <c r="AA57">
        <f t="shared" si="1067"/>
        <v>-1.82901333785275</v>
      </c>
      <c r="AB57">
        <f t="shared" si="1068"/>
        <v>2.18681325233071</v>
      </c>
      <c r="AD57">
        <f t="shared" si="1073"/>
        <v>52</v>
      </c>
      <c r="AE57">
        <f t="shared" si="1062"/>
        <v>10.129317566616001</v>
      </c>
    </row>
    <row r="58">
      <c r="A58">
        <f t="shared" si="1069"/>
        <v>52</v>
      </c>
      <c r="B58">
        <v>-0.25018139554307461</v>
      </c>
      <c r="C58">
        <f t="shared" si="1070"/>
        <v>10.129317566616001</v>
      </c>
      <c r="E58">
        <f t="shared" si="1071"/>
        <v>53</v>
      </c>
      <c r="F58">
        <f t="shared" si="1061"/>
        <v>-1.1813776421093001</v>
      </c>
      <c r="G58">
        <f t="shared" si="1072"/>
        <v>-1.26352036241274</v>
      </c>
      <c r="V58">
        <f t="shared" si="1063"/>
        <v>53</v>
      </c>
      <c r="W58">
        <f t="shared" si="1064"/>
        <v>-1.1813776421093001</v>
      </c>
      <c r="X58">
        <f t="shared" si="1065"/>
        <v>-1.26352036241274</v>
      </c>
      <c r="Y58">
        <f t="shared" si="1066"/>
        <v>8.2142720303439998e-02</v>
      </c>
      <c r="Z58">
        <f t="shared" si="1052"/>
        <v>1.02446443399141</v>
      </c>
      <c r="AA58">
        <f t="shared" si="1067"/>
        <v>-1.9257705747882901</v>
      </c>
      <c r="AB58">
        <f t="shared" si="1068"/>
        <v>2.0900560153951702</v>
      </c>
      <c r="AD58">
        <f t="shared" si="1073"/>
        <v>53</v>
      </c>
      <c r="AE58">
        <f t="shared" si="1062"/>
        <v>8.9663057524182008</v>
      </c>
    </row>
    <row r="59">
      <c r="A59">
        <f t="shared" si="1069"/>
        <v>53</v>
      </c>
      <c r="B59">
        <v>-1.1742528233216154</v>
      </c>
      <c r="C59">
        <f t="shared" si="1070"/>
        <v>8.9663057524182008</v>
      </c>
      <c r="E59">
        <f t="shared" si="1071"/>
        <v>54</v>
      </c>
      <c r="F59">
        <f t="shared" si="1061"/>
        <v>-2.0409319555350098</v>
      </c>
      <c r="G59">
        <f t="shared" si="1072"/>
        <v>-1.76820697887208</v>
      </c>
      <c r="V59">
        <f t="shared" si="1063"/>
        <v>54</v>
      </c>
      <c r="W59">
        <f t="shared" si="1064"/>
        <v>-2.0409319555350098</v>
      </c>
      <c r="X59">
        <f t="shared" si="1065"/>
        <v>-1.76820697887208</v>
      </c>
      <c r="Y59">
        <f t="shared" si="1066"/>
        <v>-0.27272497666293</v>
      </c>
      <c r="Z59">
        <f t="shared" si="1052"/>
        <v>1.02446443399141</v>
      </c>
      <c r="AA59">
        <f t="shared" si="1067"/>
        <v>-2.2806382717546598</v>
      </c>
      <c r="AB59">
        <f t="shared" si="1068"/>
        <v>1.7351883184287999</v>
      </c>
      <c r="AD59">
        <f t="shared" si="1073"/>
        <v>54</v>
      </c>
      <c r="AE59">
        <f t="shared" si="1062"/>
        <v>8.1067514389924895</v>
      </c>
    </row>
    <row r="60">
      <c r="A60">
        <f t="shared" si="1069"/>
        <v>54</v>
      </c>
      <c r="B60">
        <v>-1.404513152364584</v>
      </c>
      <c r="C60">
        <f t="shared" si="1070"/>
        <v>8.1067514389924895</v>
      </c>
      <c r="E60">
        <f t="shared" si="1071"/>
        <v>55</v>
      </c>
      <c r="F60">
        <f t="shared" si="1061"/>
        <v>-1.4737846366759899</v>
      </c>
      <c r="G60">
        <f t="shared" si="1072"/>
        <v>-0.8009818644916461</v>
      </c>
      <c r="V60">
        <f t="shared" si="1063"/>
        <v>55</v>
      </c>
      <c r="W60">
        <f t="shared" si="1064"/>
        <v>-1.4737846366759899</v>
      </c>
      <c r="X60">
        <f t="shared" si="1065"/>
        <v>-0.8009818644916461</v>
      </c>
      <c r="Y60">
        <f t="shared" si="1066"/>
        <v>-0.67280277218434403</v>
      </c>
      <c r="Z60">
        <f t="shared" si="1052"/>
        <v>1.02446443399141</v>
      </c>
      <c r="AA60">
        <f t="shared" si="1067"/>
        <v>-2.6807160672760699</v>
      </c>
      <c r="AB60">
        <f t="shared" si="1068"/>
        <v>1.3351105229073901</v>
      </c>
      <c r="AD60">
        <f t="shared" si="1073"/>
        <v>55</v>
      </c>
      <c r="AE60">
        <f t="shared" si="1062"/>
        <v>8.6738987578515108</v>
      </c>
    </row>
    <row r="61">
      <c r="A61">
        <f t="shared" si="1069"/>
        <v>55</v>
      </c>
      <c r="B61">
        <v>-0.28172987991615123</v>
      </c>
      <c r="C61">
        <f t="shared" si="1070"/>
        <v>8.6738987578515108</v>
      </c>
      <c r="E61">
        <f t="shared" si="1071"/>
        <v>56</v>
      </c>
      <c r="F61">
        <f t="shared" si="1061"/>
        <v>-1.40782127076823</v>
      </c>
      <c r="G61">
        <f t="shared" si="1072"/>
        <v>-0.69055639833432003</v>
      </c>
      <c r="V61">
        <f t="shared" si="1063"/>
        <v>56</v>
      </c>
      <c r="W61">
        <f t="shared" si="1064"/>
        <v>-1.40782127076823</v>
      </c>
      <c r="X61">
        <f t="shared" si="1065"/>
        <v>-0.69055639833432003</v>
      </c>
      <c r="Y61">
        <f t="shared" si="1066"/>
        <v>-0.71726487243391002</v>
      </c>
      <c r="Z61">
        <f t="shared" si="1052"/>
        <v>1.02446443399141</v>
      </c>
      <c r="AA61">
        <f t="shared" si="1067"/>
        <v>-2.7251781675256401</v>
      </c>
      <c r="AB61">
        <f t="shared" si="1068"/>
        <v>1.2906484226578201</v>
      </c>
      <c r="AD61">
        <f t="shared" si="1073"/>
        <v>56</v>
      </c>
      <c r="AE61">
        <f t="shared" si="1062"/>
        <v>8.73986212375927</v>
      </c>
    </row>
    <row r="62">
      <c r="A62">
        <f t="shared" si="1069"/>
        <v>56</v>
      </c>
      <c r="B62">
        <v>-0.38821298272001858</v>
      </c>
      <c r="C62">
        <f t="shared" si="1070"/>
        <v>8.73986212375927</v>
      </c>
      <c r="E62">
        <f t="shared" si="1071"/>
        <v>57</v>
      </c>
      <c r="F62">
        <f t="shared" si="1061"/>
        <v>-1.38370729699943</v>
      </c>
      <c r="G62">
        <f t="shared" si="1072"/>
        <v>-0.66227778484864797</v>
      </c>
      <c r="V62">
        <f t="shared" si="1063"/>
        <v>57</v>
      </c>
      <c r="W62">
        <f t="shared" si="1064"/>
        <v>-1.38370729699943</v>
      </c>
      <c r="X62">
        <f t="shared" si="1065"/>
        <v>-0.66227778484864797</v>
      </c>
      <c r="Y62">
        <f t="shared" si="1066"/>
        <v>-0.72142951215078199</v>
      </c>
      <c r="Z62">
        <f t="shared" si="1052"/>
        <v>1.02446443399141</v>
      </c>
      <c r="AA62">
        <f t="shared" si="1067"/>
        <v>-2.7293428072425101</v>
      </c>
      <c r="AB62">
        <f t="shared" si="1068"/>
        <v>1.2864837829409499</v>
      </c>
      <c r="AD62">
        <f t="shared" si="1073"/>
        <v>57</v>
      </c>
      <c r="AE62">
        <f t="shared" si="1062"/>
        <v>8.7639760975280705</v>
      </c>
    </row>
    <row r="63">
      <c r="A63">
        <f t="shared" si="1069"/>
        <v>57</v>
      </c>
      <c r="B63">
        <v>-0.43156998564742921</v>
      </c>
      <c r="C63">
        <f t="shared" si="1070"/>
        <v>8.7639760975280705</v>
      </c>
      <c r="E63">
        <f t="shared" si="1071"/>
        <v>58</v>
      </c>
      <c r="F63">
        <f t="shared" si="1061"/>
        <v>0.45994887572339999</v>
      </c>
      <c r="G63">
        <f t="shared" si="1072"/>
        <v>1.17702155613189</v>
      </c>
      <c r="V63">
        <f t="shared" si="1063"/>
        <v>58</v>
      </c>
      <c r="W63">
        <f t="shared" si="1064"/>
        <v>0.45994887572339999</v>
      </c>
      <c r="X63">
        <f t="shared" si="1065"/>
        <v>1.17702155613189</v>
      </c>
      <c r="Y63">
        <f t="shared" si="1066"/>
        <v>-0.71707268040849004</v>
      </c>
      <c r="Z63">
        <f t="shared" si="1052"/>
        <v>1.02446443399141</v>
      </c>
      <c r="AA63">
        <f t="shared" si="1067"/>
        <v>-2.7249859755002199</v>
      </c>
      <c r="AB63">
        <f t="shared" si="1068"/>
        <v>1.2908406146832401</v>
      </c>
      <c r="AD63">
        <f t="shared" si="1073"/>
        <v>58</v>
      </c>
      <c r="AE63">
        <f t="shared" si="1062"/>
        <v>10.6076322702509</v>
      </c>
    </row>
    <row r="64">
      <c r="A64">
        <f t="shared" si="1069"/>
        <v>58</v>
      </c>
      <c r="B64">
        <v>1.386535004851783</v>
      </c>
      <c r="C64">
        <f t="shared" si="1070"/>
        <v>10.6076322702509</v>
      </c>
      <c r="E64">
        <f t="shared" si="1071"/>
        <v>59</v>
      </c>
      <c r="F64">
        <f t="shared" si="1061"/>
        <v>-1.3013990284157499</v>
      </c>
      <c r="G64">
        <f t="shared" si="1072"/>
        <v>-1.0744022889132101</v>
      </c>
      <c r="V64">
        <f t="shared" si="1063"/>
        <v>59</v>
      </c>
      <c r="W64">
        <f t="shared" si="1064"/>
        <v>-1.3013990284157499</v>
      </c>
      <c r="X64">
        <f t="shared" si="1065"/>
        <v>-1.0744022889132101</v>
      </c>
      <c r="Y64">
        <f t="shared" si="1066"/>
        <v>-0.22699673950254001</v>
      </c>
      <c r="Z64">
        <f t="shared" si="1052"/>
        <v>1.02446443399141</v>
      </c>
      <c r="AA64">
        <f t="shared" si="1067"/>
        <v>-2.2349100345942698</v>
      </c>
      <c r="AB64">
        <f t="shared" si="1068"/>
        <v>1.7809165555891899</v>
      </c>
      <c r="AD64">
        <f t="shared" si="1073"/>
        <v>59</v>
      </c>
      <c r="AE64">
        <f t="shared" si="1062"/>
        <v>8.8462843661117496</v>
      </c>
    </row>
    <row r="65">
      <c r="A65">
        <f t="shared" si="1069"/>
        <v>59</v>
      </c>
      <c r="B65">
        <v>-1.3017512220934879</v>
      </c>
      <c r="C65">
        <f t="shared" si="1070"/>
        <v>8.8462843661117496</v>
      </c>
      <c r="E65">
        <f t="shared" si="1071"/>
        <v>60</v>
      </c>
      <c r="F65">
        <f t="shared" si="1061"/>
        <v>-1.95025292244871</v>
      </c>
      <c r="G65">
        <f t="shared" si="1072"/>
        <v>-1.49541977338095</v>
      </c>
      <c r="V65">
        <f t="shared" si="1063"/>
        <v>60</v>
      </c>
      <c r="W65">
        <f t="shared" si="1064"/>
        <v>-1.95025292244871</v>
      </c>
      <c r="X65">
        <f t="shared" si="1065"/>
        <v>-1.49541977338095</v>
      </c>
      <c r="Y65">
        <f t="shared" si="1066"/>
        <v>-0.45483314906776001</v>
      </c>
      <c r="Z65">
        <f t="shared" si="1052"/>
        <v>1.02446443399141</v>
      </c>
      <c r="AA65">
        <f t="shared" si="1067"/>
        <v>-2.4627464441594902</v>
      </c>
      <c r="AB65">
        <f t="shared" si="1068"/>
        <v>1.55308014602397</v>
      </c>
      <c r="AD65">
        <f t="shared" si="1073"/>
        <v>60</v>
      </c>
      <c r="AE65">
        <f t="shared" si="1062"/>
        <v>8.1974304720787892</v>
      </c>
    </row>
    <row r="66">
      <c r="A66">
        <f t="shared" si="1069"/>
        <v>60</v>
      </c>
      <c r="B66">
        <v>-1.2553188286181356</v>
      </c>
      <c r="C66">
        <f t="shared" si="1070"/>
        <v>8.1974304720787892</v>
      </c>
      <c r="E66">
        <f t="shared" si="1071"/>
        <v>61</v>
      </c>
      <c r="F66">
        <f t="shared" si="1061"/>
        <v>-0.44721558373411902</v>
      </c>
      <c r="G66">
        <f t="shared" si="1072"/>
        <v>0.290151141257462</v>
      </c>
      <c r="V66">
        <f t="shared" si="1063"/>
        <v>61</v>
      </c>
      <c r="W66">
        <f t="shared" si="1064"/>
        <v>-0.44721558373411902</v>
      </c>
      <c r="X66">
        <f t="shared" si="1065"/>
        <v>0.290151141257462</v>
      </c>
      <c r="Y66">
        <f t="shared" si="1066"/>
        <v>-0.73736672499158096</v>
      </c>
      <c r="Z66">
        <f t="shared" si="1052"/>
        <v>1.02446443399141</v>
      </c>
      <c r="AA66">
        <f t="shared" si="1067"/>
        <v>-2.7452800200833098</v>
      </c>
      <c r="AB66">
        <f t="shared" si="1068"/>
        <v>1.2705465701001499</v>
      </c>
      <c r="AD66">
        <f t="shared" si="1073"/>
        <v>61</v>
      </c>
      <c r="AE66">
        <f t="shared" si="1062"/>
        <v>9.7004678107933806</v>
      </c>
    </row>
    <row r="67">
      <c r="A67">
        <f t="shared" si="1069"/>
        <v>61</v>
      </c>
      <c r="B67">
        <v>0.71120271461460161</v>
      </c>
      <c r="C67">
        <f t="shared" si="1070"/>
        <v>9.7004678107933806</v>
      </c>
      <c r="E67">
        <f t="shared" si="1071"/>
        <v>62</v>
      </c>
      <c r="F67">
        <f t="shared" si="1061"/>
        <v>-0.64887493150125897</v>
      </c>
      <c r="G67">
        <f t="shared" si="1072"/>
        <v>-0.17191112877030701</v>
      </c>
      <c r="V67">
        <f t="shared" si="1063"/>
        <v>62</v>
      </c>
      <c r="W67">
        <f t="shared" si="1064"/>
        <v>-0.64887493150125897</v>
      </c>
      <c r="X67">
        <f t="shared" si="1065"/>
        <v>-0.17191112877030701</v>
      </c>
      <c r="Y67">
        <f t="shared" si="1066"/>
        <v>-0.47696380273095207</v>
      </c>
      <c r="Z67">
        <f t="shared" si="1052"/>
        <v>1.02446443399141</v>
      </c>
      <c r="AA67">
        <f t="shared" si="1067"/>
        <v>-2.4848770978226802</v>
      </c>
      <c r="AB67">
        <f t="shared" si="1068"/>
        <v>1.53094949236078</v>
      </c>
      <c r="AD67">
        <f t="shared" si="1073"/>
        <v>62</v>
      </c>
      <c r="AE67">
        <f t="shared" si="1062"/>
        <v>9.4988084630262399</v>
      </c>
    </row>
    <row r="68">
      <c r="A68">
        <f t="shared" si="1069"/>
        <v>62</v>
      </c>
      <c r="B68">
        <v>-0.14927846160621394</v>
      </c>
      <c r="C68">
        <f t="shared" si="1070"/>
        <v>9.4988084630262399</v>
      </c>
      <c r="E68">
        <f t="shared" si="1071"/>
        <v>63</v>
      </c>
      <c r="F68">
        <f t="shared" si="1061"/>
        <v>-0.44729761558890901</v>
      </c>
      <c r="G68">
        <f t="shared" si="1072"/>
        <v>-4.3601524494974002e-02</v>
      </c>
      <c r="V68">
        <f t="shared" si="1063"/>
        <v>63</v>
      </c>
      <c r="W68">
        <f t="shared" si="1064"/>
        <v>-0.44729761558890901</v>
      </c>
      <c r="X68">
        <f t="shared" si="1065"/>
        <v>-4.3601524494974002e-02</v>
      </c>
      <c r="Y68">
        <f t="shared" si="1066"/>
        <v>-0.40369609109393501</v>
      </c>
      <c r="Z68">
        <f t="shared" si="1052"/>
        <v>1.02446443399141</v>
      </c>
      <c r="AA68">
        <f t="shared" si="1067"/>
        <v>-2.41160938618567</v>
      </c>
      <c r="AB68">
        <f t="shared" si="1068"/>
        <v>1.6042172039978</v>
      </c>
      <c r="AD68">
        <f t="shared" si="1073"/>
        <v>63</v>
      </c>
      <c r="AE68">
        <f t="shared" si="1062"/>
        <v>9.7003857789385908</v>
      </c>
    </row>
    <row r="69">
      <c r="A69">
        <f t="shared" si="1069"/>
        <v>63</v>
      </c>
      <c r="B69">
        <v>2.1364162498976987e-02</v>
      </c>
      <c r="C69">
        <f t="shared" si="1070"/>
        <v>9.7003857789385908</v>
      </c>
      <c r="E69">
        <f t="shared" si="1071"/>
        <v>64</v>
      </c>
      <c r="F69">
        <f t="shared" si="1061"/>
        <v>-0.32805540058906002</v>
      </c>
      <c r="G69">
        <f t="shared" si="1072"/>
        <v>-1.3342348396413e-02</v>
      </c>
      <c r="V69">
        <f t="shared" si="1063"/>
        <v>64</v>
      </c>
      <c r="W69">
        <f t="shared" si="1064"/>
        <v>-0.32805540058906002</v>
      </c>
      <c r="X69">
        <f t="shared" si="1065"/>
        <v>-1.3342348396413e-02</v>
      </c>
      <c r="Y69">
        <f t="shared" si="1066"/>
        <v>-0.314713052192647</v>
      </c>
      <c r="Z69">
        <f t="shared" si="1052"/>
        <v>1.02446443399141</v>
      </c>
      <c r="AA69">
        <f t="shared" si="1067"/>
        <v>-2.32262634728438</v>
      </c>
      <c r="AB69">
        <f t="shared" si="1068"/>
        <v>1.69320024289908</v>
      </c>
      <c r="AD69">
        <f t="shared" si="1073"/>
        <v>64</v>
      </c>
      <c r="AE69">
        <f t="shared" si="1062"/>
        <v>9.8196279939384397</v>
      </c>
    </row>
    <row r="70">
      <c r="A70">
        <f t="shared" si="1069"/>
        <v>64</v>
      </c>
      <c r="B70">
        <v>3.3630781181214632e-02</v>
      </c>
      <c r="C70">
        <f t="shared" si="1070"/>
        <v>9.8196279939384397</v>
      </c>
      <c r="E70">
        <f t="shared" si="1071"/>
        <v>65</v>
      </c>
      <c r="F70">
        <f t="shared" si="1061"/>
        <v>2.2093621907073002</v>
      </c>
      <c r="G70">
        <f t="shared" si="1072"/>
        <v>2.44924092359771</v>
      </c>
      <c r="V70">
        <f t="shared" si="1063"/>
        <v>65</v>
      </c>
      <c r="W70">
        <f t="shared" si="1064"/>
        <v>2.2093621907073002</v>
      </c>
      <c r="X70">
        <f t="shared" si="1065"/>
        <v>2.44924092359771</v>
      </c>
      <c r="Y70">
        <f t="shared" si="1066"/>
        <v>-0.23987873289041001</v>
      </c>
      <c r="Z70">
        <f t="shared" ref="Z70:Z110" si="1075">K$16</f>
        <v>1.02446443399141</v>
      </c>
      <c r="AA70">
        <f t="shared" si="1067"/>
        <v>-2.2477920279821402</v>
      </c>
      <c r="AB70">
        <f t="shared" si="1068"/>
        <v>1.76803456220132</v>
      </c>
      <c r="AD70">
        <f t="shared" si="1073"/>
        <v>65</v>
      </c>
      <c r="AE70">
        <f t="shared" si="1062"/>
        <v>12.3570455852348</v>
      </c>
    </row>
    <row r="71">
      <c r="A71">
        <f t="shared" si="1069"/>
        <v>65</v>
      </c>
      <c r="B71">
        <v>2.4900321457140446</v>
      </c>
      <c r="C71">
        <f t="shared" si="1070"/>
        <v>12.3570455852348</v>
      </c>
      <c r="E71">
        <f t="shared" si="1071"/>
        <v>66</v>
      </c>
      <c r="F71">
        <f t="shared" si="1061"/>
        <v>0.77592101957370097</v>
      </c>
      <c r="G71">
        <f t="shared" si="1072"/>
        <v>0.30783226387118101</v>
      </c>
      <c r="V71">
        <f t="shared" si="1063"/>
        <v>66</v>
      </c>
      <c r="W71">
        <f t="shared" si="1064"/>
        <v>0.77592101957370097</v>
      </c>
      <c r="X71">
        <f t="shared" si="1065"/>
        <v>0.30783226387118101</v>
      </c>
      <c r="Y71">
        <f t="shared" si="1066"/>
        <v>0.46808875570252007</v>
      </c>
      <c r="Z71">
        <f t="shared" si="1075"/>
        <v>1.02446443399141</v>
      </c>
      <c r="AA71">
        <f t="shared" si="1067"/>
        <v>-1.53982453938921</v>
      </c>
      <c r="AB71">
        <f t="shared" si="1068"/>
        <v>2.47600205079425</v>
      </c>
      <c r="AD71">
        <f t="shared" si="1073"/>
        <v>66</v>
      </c>
      <c r="AE71">
        <f t="shared" si="1062"/>
        <v>10.923604414101201</v>
      </c>
    </row>
    <row r="72">
      <c r="A72">
        <f t="shared" si="1069"/>
        <v>66</v>
      </c>
      <c r="B72">
        <v>-0.22832106642044353</v>
      </c>
      <c r="C72">
        <f t="shared" si="1070"/>
        <v>10.923604414101201</v>
      </c>
      <c r="E72">
        <f t="shared" si="1071"/>
        <v>67</v>
      </c>
      <c r="F72">
        <f t="shared" si="1061"/>
        <v>-0.44691754792084898</v>
      </c>
      <c r="G72">
        <f t="shared" si="1072"/>
        <v>-0.87992253486586391</v>
      </c>
      <c r="V72">
        <f t="shared" si="1063"/>
        <v>67</v>
      </c>
      <c r="W72">
        <f t="shared" si="1064"/>
        <v>-0.44691754792084898</v>
      </c>
      <c r="X72">
        <f t="shared" si="1065"/>
        <v>-0.87992253486586391</v>
      </c>
      <c r="Y72">
        <f t="shared" si="1066"/>
        <v>0.43300498694501499</v>
      </c>
      <c r="Z72">
        <f t="shared" si="1075"/>
        <v>1.02446443399141</v>
      </c>
      <c r="AA72">
        <f t="shared" si="1067"/>
        <v>-1.5749083081467199</v>
      </c>
      <c r="AB72">
        <f t="shared" si="1068"/>
        <v>2.4409182820367499</v>
      </c>
      <c r="AD72">
        <f t="shared" si="1073"/>
        <v>67</v>
      </c>
      <c r="AE72">
        <f t="shared" si="1062"/>
        <v>9.7007658466066502</v>
      </c>
    </row>
    <row r="73">
      <c r="A73">
        <f t="shared" si="1069"/>
        <v>67</v>
      </c>
      <c r="B73">
        <v>-0.99142145654823755</v>
      </c>
      <c r="C73">
        <f t="shared" si="1070"/>
        <v>9.7007658466066502</v>
      </c>
      <c r="E73">
        <f t="shared" si="1071"/>
        <v>68</v>
      </c>
      <c r="F73">
        <f t="shared" ref="F73:F98" si="1076">C74-K$7</f>
        <v>0.126477670186601</v>
      </c>
      <c r="G73">
        <f t="shared" si="1072"/>
        <v>3.4181251279607999e-02</v>
      </c>
      <c r="V73">
        <f t="shared" si="1063"/>
        <v>68</v>
      </c>
      <c r="W73">
        <f t="shared" si="1064"/>
        <v>0.126477670186601</v>
      </c>
      <c r="X73">
        <f t="shared" si="1065"/>
        <v>3.4181251279607999e-02</v>
      </c>
      <c r="Y73">
        <f t="shared" si="1066"/>
        <v>9.2296418906993e-02</v>
      </c>
      <c r="Z73">
        <f t="shared" si="1075"/>
        <v>1.02446443399141</v>
      </c>
      <c r="AA73">
        <f t="shared" si="1067"/>
        <v>-1.9156168761847401</v>
      </c>
      <c r="AB73">
        <f t="shared" si="1068"/>
        <v>2.1002097139987201</v>
      </c>
      <c r="AD73">
        <f t="shared" si="1073"/>
        <v>68</v>
      </c>
      <c r="AE73">
        <f t="shared" ref="AE73:AE98" si="1077">C74</f>
        <v>10.2741610647141</v>
      </c>
    </row>
    <row r="74">
      <c r="A74">
        <f t="shared" si="1069"/>
        <v>68</v>
      </c>
      <c r="B74">
        <v>0.28534068077982994</v>
      </c>
      <c r="C74">
        <f t="shared" si="1070"/>
        <v>10.2741610647141</v>
      </c>
      <c r="E74">
        <f t="shared" si="1071"/>
        <v>69</v>
      </c>
      <c r="F74">
        <f t="shared" si="1076"/>
        <v>-0.39160252097144999</v>
      </c>
      <c r="G74">
        <f t="shared" si="1072"/>
        <v>-0.46996321538216701</v>
      </c>
      <c r="V74">
        <f t="shared" ref="V74:V99" si="1078">E74</f>
        <v>69</v>
      </c>
      <c r="W74">
        <f t="shared" ref="W74:W99" si="1079">F74</f>
        <v>-0.39160252097144999</v>
      </c>
      <c r="X74">
        <f t="shared" ref="X74:X99" si="1080">G74</f>
        <v>-0.46996321538216701</v>
      </c>
      <c r="Y74">
        <f t="shared" ref="Y74:Y99" si="1081">W74-X74</f>
        <v>7.8360694410716997e-02</v>
      </c>
      <c r="Z74">
        <f t="shared" si="1075"/>
        <v>1.02446443399141</v>
      </c>
      <c r="AA74">
        <f t="shared" ref="AA74:AA99" si="1082">Y74-NORMSINV(1-Z$4/2)*Z74</f>
        <v>-1.92955260068101</v>
      </c>
      <c r="AB74">
        <f t="shared" ref="AB74:AB99" si="1083">Y74+NORMSINV(1-Z$4/2)*Z74</f>
        <v>2.08627398950245</v>
      </c>
      <c r="AD74">
        <f t="shared" si="1073"/>
        <v>69</v>
      </c>
      <c r="AE74">
        <f t="shared" si="1077"/>
        <v>9.7560808735560496</v>
      </c>
    </row>
    <row r="75">
      <c r="A75">
        <f t="shared" ref="A75:A100" si="1084">A74+1</f>
        <v>69</v>
      </c>
      <c r="B75">
        <v>-0.37876373558789128</v>
      </c>
      <c r="C75">
        <f t="shared" ref="C75:C99" si="1085">3+0.7*C74+B75-0.2*B74</f>
        <v>9.7560808735560496</v>
      </c>
      <c r="E75">
        <f t="shared" ref="E75:E100" si="1086">E74+1</f>
        <v>70</v>
      </c>
      <c r="F75">
        <f t="shared" si="1076"/>
        <v>-0.85995155247587896</v>
      </c>
      <c r="G75">
        <f t="shared" ref="G75:G99" si="1087">F75-SUMPRODUCT(F74,J$6)-SUMPRODUCT(G74,K$6)</f>
        <v>-0.79441561628591895</v>
      </c>
      <c r="V75">
        <f t="shared" si="1078"/>
        <v>70</v>
      </c>
      <c r="W75">
        <f t="shared" si="1079"/>
        <v>-0.85995155247587896</v>
      </c>
      <c r="X75">
        <f t="shared" si="1080"/>
        <v>-0.79441561628591895</v>
      </c>
      <c r="Y75">
        <f t="shared" si="1081"/>
        <v>-6.5535936189959995e-02</v>
      </c>
      <c r="Z75">
        <f t="shared" si="1075"/>
        <v>1.02446443399141</v>
      </c>
      <c r="AA75">
        <f t="shared" si="1082"/>
        <v>-2.0734492312816899</v>
      </c>
      <c r="AB75">
        <f t="shared" si="1083"/>
        <v>1.9423773589017701</v>
      </c>
      <c r="AD75">
        <f t="shared" ref="AD75:AD100" si="1088">AD74+1</f>
        <v>70</v>
      </c>
      <c r="AE75">
        <f t="shared" si="1077"/>
        <v>9.2877318420516204</v>
      </c>
    </row>
    <row r="76">
      <c r="A76">
        <f t="shared" si="1084"/>
        <v>70</v>
      </c>
      <c r="B76">
        <v>-0.6172775165552018</v>
      </c>
      <c r="C76">
        <f t="shared" si="1085"/>
        <v>9.2877318420516204</v>
      </c>
      <c r="E76">
        <f t="shared" si="1086"/>
        <v>71</v>
      </c>
      <c r="F76">
        <f t="shared" si="1076"/>
        <v>-1.3528756976217</v>
      </c>
      <c r="G76">
        <f t="shared" si="1087"/>
        <v>-1.0934021128004101</v>
      </c>
      <c r="V76">
        <f t="shared" si="1078"/>
        <v>71</v>
      </c>
      <c r="W76">
        <f t="shared" si="1079"/>
        <v>-1.3528756976217</v>
      </c>
      <c r="X76">
        <f t="shared" si="1080"/>
        <v>-1.0934021128004101</v>
      </c>
      <c r="Y76">
        <f t="shared" si="1081"/>
        <v>-0.25947358482129002</v>
      </c>
      <c r="Z76">
        <f t="shared" si="1075"/>
        <v>1.02446443399141</v>
      </c>
      <c r="AA76">
        <f t="shared" si="1082"/>
        <v>-2.2673868799130199</v>
      </c>
      <c r="AB76">
        <f t="shared" si="1083"/>
        <v>1.7484397102704401</v>
      </c>
      <c r="AD76">
        <f t="shared" si="1088"/>
        <v>71</v>
      </c>
      <c r="AE76">
        <f t="shared" si="1077"/>
        <v>8.7948076969057993</v>
      </c>
    </row>
    <row r="77">
      <c r="A77">
        <f t="shared" si="1084"/>
        <v>71</v>
      </c>
      <c r="B77">
        <v>-0.83006009584136975</v>
      </c>
      <c r="C77">
        <f t="shared" si="1085"/>
        <v>8.7948076969057993</v>
      </c>
      <c r="E77">
        <f t="shared" si="1086"/>
        <v>72</v>
      </c>
      <c r="F77">
        <f t="shared" si="1076"/>
        <v>-0.19551744926982001</v>
      </c>
      <c r="G77">
        <f t="shared" si="1087"/>
        <v>0.28873424621402799</v>
      </c>
      <c r="V77">
        <f t="shared" si="1078"/>
        <v>72</v>
      </c>
      <c r="W77">
        <f t="shared" si="1079"/>
        <v>-0.19551744926982001</v>
      </c>
      <c r="X77">
        <f t="shared" si="1080"/>
        <v>0.28873424621402799</v>
      </c>
      <c r="Y77">
        <f t="shared" si="1081"/>
        <v>-0.484251695483848</v>
      </c>
      <c r="Z77">
        <f t="shared" si="1075"/>
        <v>1.02446443399141</v>
      </c>
      <c r="AA77">
        <f t="shared" si="1082"/>
        <v>-2.4921649905755801</v>
      </c>
      <c r="AB77">
        <f t="shared" si="1083"/>
        <v>1.5236615996078799</v>
      </c>
      <c r="AD77">
        <f t="shared" si="1088"/>
        <v>72</v>
      </c>
      <c r="AE77">
        <f t="shared" si="1077"/>
        <v>9.9521659452576792</v>
      </c>
    </row>
    <row r="78">
      <c r="A78">
        <f t="shared" si="1084"/>
        <v>72</v>
      </c>
      <c r="B78">
        <v>0.62978853825533521</v>
      </c>
      <c r="C78">
        <f t="shared" si="1085"/>
        <v>9.9521659452576792</v>
      </c>
      <c r="E78">
        <f t="shared" si="1086"/>
        <v>73</v>
      </c>
      <c r="F78">
        <f t="shared" si="1076"/>
        <v>-1.0011656012439201</v>
      </c>
      <c r="G78">
        <f t="shared" si="1087"/>
        <v>-0.71391451845584397</v>
      </c>
      <c r="V78">
        <f t="shared" si="1078"/>
        <v>73</v>
      </c>
      <c r="W78">
        <f t="shared" si="1079"/>
        <v>-1.0011656012439201</v>
      </c>
      <c r="X78">
        <f t="shared" si="1080"/>
        <v>-0.71391451845584397</v>
      </c>
      <c r="Y78">
        <f t="shared" si="1081"/>
        <v>-0.28725108278807598</v>
      </c>
      <c r="Z78">
        <f t="shared" si="1075"/>
        <v>1.02446443399141</v>
      </c>
      <c r="AA78">
        <f t="shared" si="1082"/>
        <v>-2.2951643778798099</v>
      </c>
      <c r="AB78">
        <f t="shared" si="1083"/>
        <v>1.7206622123036499</v>
      </c>
      <c r="AD78">
        <f t="shared" si="1088"/>
        <v>73</v>
      </c>
      <c r="AE78">
        <f t="shared" si="1077"/>
        <v>9.1465177932835804</v>
      </c>
    </row>
    <row r="79">
      <c r="A79">
        <f t="shared" si="1084"/>
        <v>73</v>
      </c>
      <c r="B79">
        <v>-0.694040660745746</v>
      </c>
      <c r="C79">
        <f t="shared" si="1085"/>
        <v>9.1465177932835804</v>
      </c>
      <c r="E79">
        <f t="shared" si="1086"/>
        <v>74</v>
      </c>
      <c r="F79">
        <f t="shared" si="1076"/>
        <v>-1.7356105717179999</v>
      </c>
      <c r="G79">
        <f t="shared" si="1087"/>
        <v>-1.33093644421415</v>
      </c>
      <c r="V79">
        <f t="shared" si="1078"/>
        <v>74</v>
      </c>
      <c r="W79">
        <f t="shared" si="1079"/>
        <v>-1.7356105717179999</v>
      </c>
      <c r="X79">
        <f t="shared" si="1080"/>
        <v>-1.33093644421415</v>
      </c>
      <c r="Y79">
        <f t="shared" si="1081"/>
        <v>-0.40467412750385001</v>
      </c>
      <c r="Z79">
        <f t="shared" si="1075"/>
        <v>1.02446443399141</v>
      </c>
      <c r="AA79">
        <f t="shared" si="1082"/>
        <v>-2.4125874225955801</v>
      </c>
      <c r="AB79">
        <f t="shared" si="1083"/>
        <v>1.6032391675878801</v>
      </c>
      <c r="AD79">
        <f t="shared" si="1088"/>
        <v>74</v>
      </c>
      <c r="AE79">
        <f t="shared" si="1077"/>
        <v>8.4120728228095007</v>
      </c>
    </row>
    <row r="80">
      <c r="A80">
        <f t="shared" si="1084"/>
        <v>74</v>
      </c>
      <c r="B80">
        <v>-1.129297764638155</v>
      </c>
      <c r="C80">
        <f t="shared" si="1085"/>
        <v>8.4120728228095007</v>
      </c>
      <c r="E80">
        <f t="shared" si="1086"/>
        <v>75</v>
      </c>
      <c r="F80">
        <f t="shared" si="1076"/>
        <v>-0.42383605390272894</v>
      </c>
      <c r="G80">
        <f t="shared" si="1087"/>
        <v>0.23232807332741504</v>
      </c>
      <c r="V80">
        <f t="shared" si="1078"/>
        <v>75</v>
      </c>
      <c r="W80">
        <f t="shared" si="1079"/>
        <v>-0.42383605390272894</v>
      </c>
      <c r="X80">
        <f t="shared" si="1080"/>
        <v>0.23232807332741504</v>
      </c>
      <c r="Y80">
        <f t="shared" si="1081"/>
        <v>-0.65616412723014395</v>
      </c>
      <c r="Z80">
        <f t="shared" si="1075"/>
        <v>1.02446443399141</v>
      </c>
      <c r="AA80">
        <f t="shared" si="1082"/>
        <v>-2.6640774223218702</v>
      </c>
      <c r="AB80">
        <f t="shared" si="1083"/>
        <v>1.3517491678615901</v>
      </c>
      <c r="AD80">
        <f t="shared" si="1088"/>
        <v>75</v>
      </c>
      <c r="AE80">
        <f t="shared" si="1077"/>
        <v>9.7238473406247703</v>
      </c>
    </row>
    <row r="81">
      <c r="A81">
        <f t="shared" si="1084"/>
        <v>75</v>
      </c>
      <c r="B81">
        <v>0.6095368117304879</v>
      </c>
      <c r="C81">
        <f t="shared" si="1085"/>
        <v>9.7238473406247703</v>
      </c>
      <c r="E81">
        <f t="shared" si="1086"/>
        <v>76</v>
      </c>
      <c r="F81">
        <f t="shared" si="1076"/>
        <v>-1.6988946411668899</v>
      </c>
      <c r="G81">
        <f t="shared" si="1087"/>
        <v>-1.2676095312250399</v>
      </c>
      <c r="V81">
        <f t="shared" si="1078"/>
        <v>76</v>
      </c>
      <c r="W81">
        <f t="shared" si="1079"/>
        <v>-1.6988946411668899</v>
      </c>
      <c r="X81">
        <f t="shared" si="1080"/>
        <v>-1.2676095312250399</v>
      </c>
      <c r="Y81">
        <f t="shared" si="1081"/>
        <v>-0.43128510994185004</v>
      </c>
      <c r="Z81">
        <f t="shared" si="1075"/>
        <v>1.02446443399141</v>
      </c>
      <c r="AA81">
        <f t="shared" si="1082"/>
        <v>-2.4391984050335802</v>
      </c>
      <c r="AB81">
        <f t="shared" si="1083"/>
        <v>1.57662818514988</v>
      </c>
      <c r="AD81">
        <f t="shared" si="1088"/>
        <v>76</v>
      </c>
      <c r="AE81">
        <f t="shared" si="1077"/>
        <v>8.4487887533606099</v>
      </c>
    </row>
    <row r="82">
      <c r="A82">
        <f t="shared" si="1084"/>
        <v>76</v>
      </c>
      <c r="B82">
        <v>-1.2359970227306327</v>
      </c>
      <c r="C82">
        <f t="shared" si="1085"/>
        <v>8.4487887533606099</v>
      </c>
      <c r="E82">
        <f t="shared" si="1086"/>
        <v>77</v>
      </c>
      <c r="F82">
        <f t="shared" si="1076"/>
        <v>-0.83851376654159004</v>
      </c>
      <c r="G82">
        <f t="shared" si="1087"/>
        <v>-0.17912558415402899</v>
      </c>
      <c r="V82">
        <f t="shared" si="1078"/>
        <v>77</v>
      </c>
      <c r="W82">
        <f t="shared" si="1079"/>
        <v>-0.83851376654159004</v>
      </c>
      <c r="X82">
        <f t="shared" si="1080"/>
        <v>-0.17912558415402899</v>
      </c>
      <c r="Y82">
        <f t="shared" si="1081"/>
        <v>-0.65938818238756103</v>
      </c>
      <c r="Z82">
        <f t="shared" si="1075"/>
        <v>1.02446443399141</v>
      </c>
      <c r="AA82">
        <f t="shared" si="1082"/>
        <v>-2.66730147747929</v>
      </c>
      <c r="AB82">
        <f t="shared" si="1083"/>
        <v>1.34852511270417</v>
      </c>
      <c r="AD82">
        <f t="shared" si="1088"/>
        <v>77</v>
      </c>
      <c r="AE82">
        <f t="shared" si="1077"/>
        <v>9.3091696279859093</v>
      </c>
    </row>
    <row r="83">
      <c r="A83">
        <f t="shared" si="1084"/>
        <v>77</v>
      </c>
      <c r="B83">
        <v>0.14781809608735161</v>
      </c>
      <c r="C83">
        <f t="shared" si="1085"/>
        <v>9.3091696279859093</v>
      </c>
      <c r="E83">
        <f t="shared" si="1086"/>
        <v>78</v>
      </c>
      <c r="F83">
        <f t="shared" si="1076"/>
        <v>-0.51858832229510898</v>
      </c>
      <c r="G83">
        <f t="shared" si="1087"/>
        <v>2.4016718082486999e-02</v>
      </c>
      <c r="V83">
        <f t="shared" si="1078"/>
        <v>78</v>
      </c>
      <c r="W83">
        <f t="shared" si="1079"/>
        <v>-0.51858832229510898</v>
      </c>
      <c r="X83">
        <f t="shared" si="1080"/>
        <v>2.4016718082486999e-02</v>
      </c>
      <c r="Y83">
        <f t="shared" si="1081"/>
        <v>-0.54260504037759605</v>
      </c>
      <c r="Z83">
        <f t="shared" si="1075"/>
        <v>1.02446443399141</v>
      </c>
      <c r="AA83">
        <f t="shared" si="1082"/>
        <v>-2.5505183354693299</v>
      </c>
      <c r="AB83">
        <f t="shared" si="1083"/>
        <v>1.4653082547141301</v>
      </c>
      <c r="AD83">
        <f t="shared" si="1088"/>
        <v>78</v>
      </c>
      <c r="AE83">
        <f t="shared" si="1077"/>
        <v>9.6290950722323903</v>
      </c>
    </row>
    <row r="84">
      <c r="A84">
        <f t="shared" si="1084"/>
        <v>78</v>
      </c>
      <c r="B84">
        <v>0.14223995185972241</v>
      </c>
      <c r="C84">
        <f t="shared" si="1085"/>
        <v>9.6290950722323903</v>
      </c>
      <c r="E84">
        <f t="shared" si="1086"/>
        <v>79</v>
      </c>
      <c r="F84">
        <f t="shared" si="1076"/>
        <v>0.35107094759410101</v>
      </c>
      <c r="G84">
        <f t="shared" si="1087"/>
        <v>0.75220731312962497</v>
      </c>
      <c r="V84">
        <f t="shared" si="1078"/>
        <v>79</v>
      </c>
      <c r="W84">
        <f t="shared" si="1079"/>
        <v>0.35107094759410101</v>
      </c>
      <c r="X84">
        <f t="shared" si="1080"/>
        <v>0.75220731312962497</v>
      </c>
      <c r="Y84">
        <f t="shared" si="1081"/>
        <v>-0.40113636553552395</v>
      </c>
      <c r="Z84">
        <f t="shared" si="1075"/>
        <v>1.02446443399141</v>
      </c>
      <c r="AA84">
        <f t="shared" si="1082"/>
        <v>-2.4090496606272498</v>
      </c>
      <c r="AB84">
        <f t="shared" si="1083"/>
        <v>1.60677692955621</v>
      </c>
      <c r="AD84">
        <f t="shared" si="1088"/>
        <v>79</v>
      </c>
      <c r="AE84">
        <f t="shared" si="1077"/>
        <v>10.4987543421216</v>
      </c>
    </row>
    <row r="85">
      <c r="A85">
        <f t="shared" si="1084"/>
        <v>79</v>
      </c>
      <c r="B85">
        <v>0.78683578193082893</v>
      </c>
      <c r="C85">
        <f t="shared" si="1085"/>
        <v>10.4987543421216</v>
      </c>
      <c r="E85">
        <f t="shared" si="1086"/>
        <v>80</v>
      </c>
      <c r="F85">
        <f t="shared" si="1076"/>
        <v>-2.0131273599017199</v>
      </c>
      <c r="G85">
        <f t="shared" si="1087"/>
        <v>-1.9109619127525299</v>
      </c>
      <c r="V85">
        <f t="shared" si="1078"/>
        <v>80</v>
      </c>
      <c r="W85">
        <f t="shared" si="1079"/>
        <v>-2.0131273599017199</v>
      </c>
      <c r="X85">
        <f t="shared" si="1080"/>
        <v>-1.9109619127525299</v>
      </c>
      <c r="Y85">
        <f t="shared" si="1081"/>
        <v>-0.10216544714919</v>
      </c>
      <c r="Z85">
        <f t="shared" si="1075"/>
        <v>1.02446443399141</v>
      </c>
      <c r="AA85">
        <f t="shared" si="1082"/>
        <v>-2.11007874224092</v>
      </c>
      <c r="AB85">
        <f t="shared" si="1083"/>
        <v>1.90574784794254</v>
      </c>
      <c r="AD85">
        <f t="shared" si="1088"/>
        <v>80</v>
      </c>
      <c r="AE85">
        <f t="shared" si="1077"/>
        <v>8.1345560346257795</v>
      </c>
    </row>
    <row r="86">
      <c r="A86">
        <f t="shared" si="1084"/>
        <v>80</v>
      </c>
      <c r="B86">
        <v>-2.0572048484731567</v>
      </c>
      <c r="C86">
        <f t="shared" si="1085"/>
        <v>8.1345560346257795</v>
      </c>
      <c r="E86">
        <f t="shared" si="1086"/>
        <v>81</v>
      </c>
      <c r="F86">
        <f t="shared" si="1076"/>
        <v>-0.99249983216424886</v>
      </c>
      <c r="G86">
        <f t="shared" si="1087"/>
        <v>-0.41000346096416596</v>
      </c>
      <c r="V86">
        <f t="shared" si="1078"/>
        <v>81</v>
      </c>
      <c r="W86">
        <f t="shared" si="1079"/>
        <v>-0.99249983216424886</v>
      </c>
      <c r="X86">
        <f t="shared" si="1080"/>
        <v>-0.41000346096416596</v>
      </c>
      <c r="Y86">
        <f t="shared" si="1081"/>
        <v>-0.58249637120008302</v>
      </c>
      <c r="Z86">
        <f t="shared" si="1075"/>
        <v>1.02446443399141</v>
      </c>
      <c r="AA86">
        <f t="shared" si="1082"/>
        <v>-2.5904096662918099</v>
      </c>
      <c r="AB86">
        <f t="shared" si="1083"/>
        <v>1.4254169238916501</v>
      </c>
      <c r="AD86">
        <f t="shared" si="1088"/>
        <v>81</v>
      </c>
      <c r="AE86">
        <f t="shared" si="1077"/>
        <v>9.1551835623632503</v>
      </c>
    </row>
    <row r="87">
      <c r="A87">
        <f t="shared" si="1084"/>
        <v>81</v>
      </c>
      <c r="B87">
        <v>4.9553368430570136e-02</v>
      </c>
      <c r="C87">
        <f t="shared" si="1085"/>
        <v>9.1551835623632503</v>
      </c>
      <c r="E87">
        <f t="shared" si="1086"/>
        <v>82</v>
      </c>
      <c r="F87">
        <f t="shared" si="1076"/>
        <v>-2.1555979544536301</v>
      </c>
      <c r="G87">
        <f t="shared" si="1087"/>
        <v>-1.6096321350176599</v>
      </c>
      <c r="V87">
        <f t="shared" si="1078"/>
        <v>82</v>
      </c>
      <c r="W87">
        <f t="shared" si="1079"/>
        <v>-2.1555979544536301</v>
      </c>
      <c r="X87">
        <f t="shared" si="1080"/>
        <v>-1.6096321350176599</v>
      </c>
      <c r="Y87">
        <f t="shared" si="1081"/>
        <v>-0.54596581943597</v>
      </c>
      <c r="Z87">
        <f t="shared" si="1075"/>
        <v>1.02446443399141</v>
      </c>
      <c r="AA87">
        <f t="shared" si="1082"/>
        <v>-2.5538791145277</v>
      </c>
      <c r="AB87">
        <f t="shared" si="1083"/>
        <v>1.46194747565576</v>
      </c>
      <c r="AD87">
        <f t="shared" si="1088"/>
        <v>82</v>
      </c>
      <c r="AE87">
        <f t="shared" si="1077"/>
        <v>7.9920854400738701</v>
      </c>
    </row>
    <row r="88">
      <c r="A88">
        <f t="shared" si="1084"/>
        <v>82</v>
      </c>
      <c r="B88">
        <v>-1.4066323798943019</v>
      </c>
      <c r="C88">
        <f t="shared" si="1085"/>
        <v>7.9920854400738701</v>
      </c>
      <c r="E88">
        <f t="shared" si="1086"/>
        <v>83</v>
      </c>
      <c r="F88">
        <f t="shared" si="1076"/>
        <v>0.29184360214190103</v>
      </c>
      <c r="G88">
        <f t="shared" si="1087"/>
        <v>1.12787874146698</v>
      </c>
      <c r="V88">
        <f t="shared" si="1078"/>
        <v>83</v>
      </c>
      <c r="W88">
        <f t="shared" si="1079"/>
        <v>0.29184360214190103</v>
      </c>
      <c r="X88">
        <f t="shared" si="1080"/>
        <v>1.12787874146698</v>
      </c>
      <c r="Y88">
        <f t="shared" si="1081"/>
        <v>-0.836035139325079</v>
      </c>
      <c r="Z88">
        <f t="shared" si="1075"/>
        <v>1.02446443399141</v>
      </c>
      <c r="AA88">
        <f t="shared" si="1082"/>
        <v>-2.8439484344168098</v>
      </c>
      <c r="AB88">
        <f t="shared" si="1083"/>
        <v>1.17187815576665</v>
      </c>
      <c r="AD88">
        <f t="shared" si="1088"/>
        <v>83</v>
      </c>
      <c r="AE88">
        <f t="shared" si="1077"/>
        <v>10.4395269966694</v>
      </c>
    </row>
    <row r="89">
      <c r="A89">
        <f t="shared" si="1084"/>
        <v>83</v>
      </c>
      <c r="B89">
        <v>1.5637407126388041</v>
      </c>
      <c r="C89">
        <f t="shared" si="1085"/>
        <v>10.4395269966694</v>
      </c>
      <c r="E89">
        <f t="shared" si="1086"/>
        <v>84</v>
      </c>
      <c r="F89">
        <f t="shared" si="1076"/>
        <v>1.0275693338944001</v>
      </c>
      <c r="G89">
        <f t="shared" si="1087"/>
        <v>1.35691263853706</v>
      </c>
      <c r="V89">
        <f t="shared" si="1078"/>
        <v>84</v>
      </c>
      <c r="W89">
        <f t="shared" si="1079"/>
        <v>1.0275693338944001</v>
      </c>
      <c r="X89">
        <f t="shared" si="1080"/>
        <v>1.35691263853706</v>
      </c>
      <c r="Y89">
        <f t="shared" si="1081"/>
        <v>-0.32934330464265998</v>
      </c>
      <c r="Z89">
        <f t="shared" si="1075"/>
        <v>1.02446443399141</v>
      </c>
      <c r="AA89">
        <f t="shared" si="1082"/>
        <v>-2.3372565997343902</v>
      </c>
      <c r="AB89">
        <f t="shared" si="1083"/>
        <v>1.6785699904490701</v>
      </c>
      <c r="AD89">
        <f t="shared" si="1088"/>
        <v>84</v>
      </c>
      <c r="AE89">
        <f t="shared" si="1077"/>
        <v>11.175252728421899</v>
      </c>
    </row>
    <row r="90">
      <c r="A90">
        <f t="shared" si="1084"/>
        <v>84</v>
      </c>
      <c r="B90">
        <v>1.1803319732811373</v>
      </c>
      <c r="C90">
        <f t="shared" si="1085"/>
        <v>11.175252728421899</v>
      </c>
      <c r="E90">
        <f t="shared" si="1086"/>
        <v>85</v>
      </c>
      <c r="F90">
        <f t="shared" si="1076"/>
        <v>-0.226179905464029</v>
      </c>
      <c r="G90">
        <f t="shared" si="1087"/>
        <v>-0.337976827417309</v>
      </c>
      <c r="V90">
        <f t="shared" si="1078"/>
        <v>85</v>
      </c>
      <c r="W90">
        <f t="shared" si="1079"/>
        <v>-0.226179905464029</v>
      </c>
      <c r="X90">
        <f t="shared" si="1080"/>
        <v>-0.337976827417309</v>
      </c>
      <c r="Y90">
        <f t="shared" si="1081"/>
        <v>0.11179692195327999</v>
      </c>
      <c r="Z90">
        <f t="shared" si="1075"/>
        <v>1.02446443399141</v>
      </c>
      <c r="AA90">
        <f t="shared" si="1082"/>
        <v>-1.8961163731384501</v>
      </c>
      <c r="AB90">
        <f t="shared" si="1083"/>
        <v>2.1197102170450099</v>
      </c>
      <c r="AD90">
        <f t="shared" si="1088"/>
        <v>85</v>
      </c>
      <c r="AE90">
        <f t="shared" si="1077"/>
        <v>9.9215034890634701</v>
      </c>
    </row>
    <row r="91">
      <c r="A91">
        <f t="shared" si="1084"/>
        <v>85</v>
      </c>
      <c r="B91">
        <v>-0.6651070261756501</v>
      </c>
      <c r="C91">
        <f t="shared" si="1085"/>
        <v>9.9215034890634701</v>
      </c>
      <c r="E91">
        <f t="shared" si="1086"/>
        <v>86</v>
      </c>
      <c r="F91">
        <f t="shared" si="1076"/>
        <v>0.50533546939760099</v>
      </c>
      <c r="G91">
        <f t="shared" si="1087"/>
        <v>0.51082842237653103</v>
      </c>
      <c r="V91">
        <f t="shared" si="1078"/>
        <v>86</v>
      </c>
      <c r="W91">
        <f t="shared" si="1079"/>
        <v>0.50533546939760099</v>
      </c>
      <c r="X91">
        <f t="shared" si="1080"/>
        <v>0.51082842237653103</v>
      </c>
      <c r="Y91">
        <f t="shared" si="1081"/>
        <v>-5.4929529789300002e-03</v>
      </c>
      <c r="Z91">
        <f t="shared" si="1075"/>
        <v>1.02446443399141</v>
      </c>
      <c r="AA91">
        <f t="shared" si="1082"/>
        <v>-2.0134062480706598</v>
      </c>
      <c r="AB91">
        <f t="shared" si="1083"/>
        <v>2.0024203421128002</v>
      </c>
      <c r="AD91">
        <f t="shared" si="1088"/>
        <v>86</v>
      </c>
      <c r="AE91">
        <f t="shared" si="1077"/>
        <v>10.6530188639251</v>
      </c>
    </row>
    <row r="92">
      <c r="A92">
        <f t="shared" si="1084"/>
        <v>86</v>
      </c>
      <c r="B92">
        <v>0.57494501634557915</v>
      </c>
      <c r="C92">
        <f t="shared" si="1085"/>
        <v>10.6530188639251</v>
      </c>
      <c r="E92">
        <f t="shared" si="1086"/>
        <v>87</v>
      </c>
      <c r="F92">
        <f t="shared" si="1076"/>
        <v>0.153281641432301</v>
      </c>
      <c r="G92">
        <f t="shared" si="1087"/>
        <v>2.2206789860550996e-02</v>
      </c>
      <c r="V92">
        <f t="shared" si="1078"/>
        <v>87</v>
      </c>
      <c r="W92">
        <f t="shared" si="1079"/>
        <v>0.153281641432301</v>
      </c>
      <c r="X92">
        <f t="shared" si="1080"/>
        <v>2.2206789860550996e-02</v>
      </c>
      <c r="Y92">
        <f t="shared" si="1081"/>
        <v>0.13107485157175</v>
      </c>
      <c r="Z92">
        <f t="shared" si="1075"/>
        <v>1.02446443399141</v>
      </c>
      <c r="AA92">
        <f t="shared" si="1082"/>
        <v>-1.8768384435199801</v>
      </c>
      <c r="AB92">
        <f t="shared" si="1083"/>
        <v>2.1389881466634799</v>
      </c>
      <c r="AD92">
        <f t="shared" si="1088"/>
        <v>87</v>
      </c>
      <c r="AE92">
        <f t="shared" si="1077"/>
        <v>10.3009650359598</v>
      </c>
    </row>
    <row r="93">
      <c r="A93">
        <f t="shared" si="1084"/>
        <v>87</v>
      </c>
      <c r="B93">
        <v>-4.1159165518735163e-02</v>
      </c>
      <c r="C93">
        <f t="shared" si="1085"/>
        <v>10.3009650359598</v>
      </c>
      <c r="E93">
        <f t="shared" si="1086"/>
        <v>88</v>
      </c>
      <c r="F93">
        <f t="shared" si="1076"/>
        <v>-0.82497175248695986</v>
      </c>
      <c r="G93">
        <f t="shared" si="1087"/>
        <v>-0.92928553669953984</v>
      </c>
      <c r="V93">
        <f t="shared" si="1078"/>
        <v>88</v>
      </c>
      <c r="W93">
        <f t="shared" si="1079"/>
        <v>-0.82497175248695986</v>
      </c>
      <c r="X93">
        <f t="shared" si="1080"/>
        <v>-0.92928553669953984</v>
      </c>
      <c r="Y93">
        <f t="shared" si="1081"/>
        <v>0.10431378421258</v>
      </c>
      <c r="Z93">
        <f t="shared" si="1075"/>
        <v>1.02446443399141</v>
      </c>
      <c r="AA93">
        <f t="shared" si="1082"/>
        <v>-1.9035995108791499</v>
      </c>
      <c r="AB93">
        <f t="shared" si="1083"/>
        <v>2.1122270793043101</v>
      </c>
      <c r="AD93">
        <f t="shared" si="1088"/>
        <v>88</v>
      </c>
      <c r="AE93">
        <f t="shared" si="1077"/>
        <v>9.3227116420405398</v>
      </c>
    </row>
    <row r="94">
      <c r="A94">
        <f t="shared" si="1084"/>
        <v>88</v>
      </c>
      <c r="B94">
        <v>-0.89619571623511651</v>
      </c>
      <c r="C94">
        <f t="shared" si="1085"/>
        <v>9.3227116420405398</v>
      </c>
      <c r="E94">
        <f t="shared" si="1086"/>
        <v>89</v>
      </c>
      <c r="F94">
        <f t="shared" si="1076"/>
        <v>1.0608135034545001</v>
      </c>
      <c r="G94">
        <f t="shared" si="1087"/>
        <v>1.22842683720144</v>
      </c>
      <c r="V94">
        <f t="shared" si="1078"/>
        <v>89</v>
      </c>
      <c r="W94">
        <f t="shared" si="1079"/>
        <v>1.0608135034545001</v>
      </c>
      <c r="X94">
        <f t="shared" si="1080"/>
        <v>1.22842683720144</v>
      </c>
      <c r="Y94">
        <f t="shared" si="1081"/>
        <v>-0.16761333374694001</v>
      </c>
      <c r="Z94">
        <f t="shared" si="1075"/>
        <v>1.02446443399141</v>
      </c>
      <c r="AA94">
        <f t="shared" si="1082"/>
        <v>-2.1755266288386701</v>
      </c>
      <c r="AB94">
        <f t="shared" si="1083"/>
        <v>1.8402999613447899</v>
      </c>
      <c r="AD94">
        <f t="shared" si="1088"/>
        <v>89</v>
      </c>
      <c r="AE94">
        <f t="shared" si="1077"/>
        <v>11.208496897982</v>
      </c>
    </row>
    <row r="95">
      <c r="A95">
        <f t="shared" si="1084"/>
        <v>89</v>
      </c>
      <c r="B95">
        <v>1.503359605306662</v>
      </c>
      <c r="C95">
        <f t="shared" si="1085"/>
        <v>11.208496897982</v>
      </c>
      <c r="E95">
        <f t="shared" si="1086"/>
        <v>90</v>
      </c>
      <c r="F95">
        <f t="shared" si="1076"/>
        <v>-0.31397114331242898</v>
      </c>
      <c r="G95">
        <f t="shared" si="1087"/>
        <v>-0.51322011082561902</v>
      </c>
      <c r="V95">
        <f t="shared" si="1078"/>
        <v>90</v>
      </c>
      <c r="W95">
        <f t="shared" si="1079"/>
        <v>-0.31397114331242898</v>
      </c>
      <c r="X95">
        <f t="shared" si="1080"/>
        <v>-0.51322011082561902</v>
      </c>
      <c r="Y95">
        <f t="shared" si="1081"/>
        <v>0.19924896751318999</v>
      </c>
      <c r="Z95">
        <f t="shared" si="1075"/>
        <v>1.02446443399141</v>
      </c>
      <c r="AA95">
        <f t="shared" si="1082"/>
        <v>-1.8086643275785399</v>
      </c>
      <c r="AB95">
        <f t="shared" si="1083"/>
        <v>2.2071622626049199</v>
      </c>
      <c r="AD95">
        <f t="shared" si="1088"/>
        <v>90</v>
      </c>
      <c r="AE95">
        <f t="shared" si="1077"/>
        <v>9.8337122512150703</v>
      </c>
    </row>
    <row r="96">
      <c r="A96">
        <f t="shared" si="1084"/>
        <v>90</v>
      </c>
      <c r="B96">
        <v>-0.71156365631100771</v>
      </c>
      <c r="C96">
        <f t="shared" si="1085"/>
        <v>9.8337122512150703</v>
      </c>
      <c r="E96">
        <f t="shared" si="1086"/>
        <v>91</v>
      </c>
      <c r="F96">
        <f t="shared" si="1076"/>
        <v>0.86154550983960099</v>
      </c>
      <c r="G96">
        <f t="shared" si="1087"/>
        <v>0.84774386915913402</v>
      </c>
      <c r="V96">
        <f t="shared" si="1078"/>
        <v>91</v>
      </c>
      <c r="W96">
        <f t="shared" si="1079"/>
        <v>0.86154550983960099</v>
      </c>
      <c r="X96">
        <f t="shared" si="1080"/>
        <v>0.84774386915913402</v>
      </c>
      <c r="Y96">
        <f t="shared" si="1081"/>
        <v>1.3801640680466997e-02</v>
      </c>
      <c r="Z96">
        <f t="shared" si="1075"/>
        <v>1.02446443399141</v>
      </c>
      <c r="AA96">
        <f t="shared" si="1082"/>
        <v>-1.99411165441126</v>
      </c>
      <c r="AB96">
        <f t="shared" si="1083"/>
        <v>2.0217149357722</v>
      </c>
      <c r="AD96">
        <f t="shared" si="1088"/>
        <v>91</v>
      </c>
      <c r="AE96">
        <f t="shared" si="1077"/>
        <v>11.009228904367101</v>
      </c>
    </row>
    <row r="97">
      <c r="A97">
        <f t="shared" si="1084"/>
        <v>91</v>
      </c>
      <c r="B97">
        <v>0.98331759725438272</v>
      </c>
      <c r="C97">
        <f t="shared" si="1085"/>
        <v>11.009228904367101</v>
      </c>
      <c r="E97">
        <f t="shared" si="1086"/>
        <v>92</v>
      </c>
      <c r="F97">
        <f t="shared" si="1076"/>
        <v>-0.47547173026833001</v>
      </c>
      <c r="G97">
        <f t="shared" si="1087"/>
        <v>-0.71020748953576196</v>
      </c>
      <c r="V97">
        <f t="shared" si="1078"/>
        <v>92</v>
      </c>
      <c r="W97">
        <f t="shared" si="1079"/>
        <v>-0.47547173026833001</v>
      </c>
      <c r="X97">
        <f t="shared" si="1080"/>
        <v>-0.71020748953576196</v>
      </c>
      <c r="Y97">
        <f t="shared" si="1081"/>
        <v>0.23473575926743201</v>
      </c>
      <c r="Z97">
        <f t="shared" si="1075"/>
        <v>1.02446443399141</v>
      </c>
      <c r="AA97">
        <f t="shared" si="1082"/>
        <v>-1.7731775358243</v>
      </c>
      <c r="AB97">
        <f t="shared" si="1083"/>
        <v>2.24264905435916</v>
      </c>
      <c r="AD97">
        <f t="shared" si="1088"/>
        <v>92</v>
      </c>
      <c r="AE97">
        <f t="shared" si="1077"/>
        <v>9.6722116642591693</v>
      </c>
    </row>
    <row r="98">
      <c r="A98">
        <f t="shared" si="1084"/>
        <v>92</v>
      </c>
      <c r="B98">
        <v>-0.83758504934694744</v>
      </c>
      <c r="C98">
        <f t="shared" si="1085"/>
        <v>9.6722116642591693</v>
      </c>
      <c r="E98">
        <f t="shared" si="1086"/>
        <v>93</v>
      </c>
      <c r="F98">
        <f t="shared" si="1076"/>
        <v>-2.1256282291012298</v>
      </c>
      <c r="G98">
        <f t="shared" si="1087"/>
        <v>-2.1139439287866999</v>
      </c>
      <c r="V98">
        <f t="shared" si="1078"/>
        <v>93</v>
      </c>
      <c r="W98">
        <f t="shared" si="1079"/>
        <v>-2.1256282291012298</v>
      </c>
      <c r="X98">
        <f t="shared" si="1080"/>
        <v>-2.1139439287866999</v>
      </c>
      <c r="Y98">
        <f t="shared" si="1081"/>
        <v>-1.1684300314530001e-02</v>
      </c>
      <c r="Z98">
        <f t="shared" si="1075"/>
        <v>1.02446443399141</v>
      </c>
      <c r="AA98">
        <f t="shared" si="1082"/>
        <v>-2.0195975954062599</v>
      </c>
      <c r="AB98">
        <f t="shared" si="1083"/>
        <v>1.9962289947772001</v>
      </c>
      <c r="AD98">
        <f t="shared" si="1088"/>
        <v>93</v>
      </c>
      <c r="AE98">
        <f t="shared" si="1077"/>
        <v>8.02205516542627</v>
      </c>
    </row>
    <row r="99">
      <c r="A99">
        <f t="shared" si="1084"/>
        <v>93</v>
      </c>
      <c r="B99">
        <v>-1.916010009424536</v>
      </c>
      <c r="C99">
        <f t="shared" si="1085"/>
        <v>8.02205516542627</v>
      </c>
      <c r="E99">
        <f t="shared" si="1086"/>
        <v>94</v>
      </c>
      <c r="F99">
        <f t="shared" ref="F99:F110" si="1089">C100-K$7</f>
        <v>-1.0475229078192101</v>
      </c>
      <c r="G99">
        <f t="shared" si="1087"/>
        <v>-0.47925440589293</v>
      </c>
      <c r="V99">
        <f t="shared" si="1078"/>
        <v>94</v>
      </c>
      <c r="W99">
        <f t="shared" si="1079"/>
        <v>-1.0475229078192101</v>
      </c>
      <c r="X99">
        <f t="shared" si="1080"/>
        <v>-0.47925440589293</v>
      </c>
      <c r="Y99">
        <f t="shared" si="1081"/>
        <v>-0.56826850192627998</v>
      </c>
      <c r="Z99">
        <f t="shared" si="1075"/>
        <v>1.02446443399141</v>
      </c>
      <c r="AA99">
        <f t="shared" si="1082"/>
        <v>-2.5761817970180099</v>
      </c>
      <c r="AB99">
        <f t="shared" si="1083"/>
        <v>1.4396447931654499</v>
      </c>
      <c r="AD99">
        <f t="shared" si="1088"/>
        <v>94</v>
      </c>
      <c r="AE99">
        <f t="shared" ref="AE99:AE110" si="1090">C100</f>
        <v>9.1001604867082904</v>
      </c>
    </row>
    <row r="100">
      <c r="A100">
        <f t="shared" si="1084"/>
        <v>94</v>
      </c>
      <c r="B100">
        <v>0.10151986902498664</v>
      </c>
      <c r="C100">
        <f>3+0.7*C99+B100-0.2*B99</f>
        <v>9.1001604867082904</v>
      </c>
      <c r="E100">
        <f t="shared" si="1086"/>
        <v>95</v>
      </c>
      <c r="F100">
        <f t="shared" si="1089"/>
        <v>0.14588017530440001</v>
      </c>
      <c r="G100">
        <f>F100-SUMPRODUCT(F99,J$6)-SUMPRODUCT(G99,K$6)</f>
        <v>0.69948947903412795</v>
      </c>
      <c r="V100">
        <f t="shared" ref="V100:V110" si="1091">E100</f>
        <v>95</v>
      </c>
      <c r="W100">
        <f t="shared" ref="W100:W110" si="1092">F100</f>
        <v>0.14588017530440001</v>
      </c>
      <c r="X100">
        <f t="shared" ref="X100:X110" si="1093">G100</f>
        <v>0.69948947903412795</v>
      </c>
      <c r="Y100">
        <f t="shared" ref="Y100:Y110" si="1094">W100-X100</f>
        <v>-0.55360930372972805</v>
      </c>
      <c r="Z100">
        <f t="shared" si="1075"/>
        <v>1.02446443399141</v>
      </c>
      <c r="AA100">
        <f t="shared" ref="AA100:AA115" si="1095">Y100-NORMSINV(1-Z$4/2)*Z100</f>
        <v>-2.5615225988214601</v>
      </c>
      <c r="AB100">
        <f t="shared" ref="AB100:AB115" si="1096">Y100+NORMSINV(1-Z$4/2)*Z100</f>
        <v>1.4543039913619999</v>
      </c>
      <c r="AD100">
        <f t="shared" si="1088"/>
        <v>95</v>
      </c>
      <c r="AE100">
        <f t="shared" si="1090"/>
        <v>10.2935635698319</v>
      </c>
    </row>
    <row r="101">
      <c r="A101">
        <f t="shared" ref="A101:A111" si="1097">A100+1</f>
        <v>95</v>
      </c>
      <c r="B101">
        <v>0.94375520294114756</v>
      </c>
      <c r="C101">
        <f t="shared" ref="C101:C111" si="1098">3+0.7*C100+B101-0.2*B100</f>
        <v>10.2935635698319</v>
      </c>
      <c r="E101">
        <f t="shared" ref="E101:E110" si="1099">E100+1</f>
        <v>96</v>
      </c>
      <c r="F101">
        <f t="shared" si="1089"/>
        <v>0.72645449782890004</v>
      </c>
      <c r="G101">
        <f t="shared" ref="G101:G110" si="1100">F101-SUMPRODUCT(F100,J$6)-SUMPRODUCT(G100,K$6)</f>
        <v>0.95707885410480598</v>
      </c>
      <c r="V101">
        <f t="shared" si="1091"/>
        <v>96</v>
      </c>
      <c r="W101">
        <f t="shared" si="1092"/>
        <v>0.72645449782890004</v>
      </c>
      <c r="X101">
        <f t="shared" si="1093"/>
        <v>0.95707885410480598</v>
      </c>
      <c r="Y101">
        <f t="shared" si="1094"/>
        <v>-0.230624356275906</v>
      </c>
      <c r="Z101">
        <f t="shared" si="1075"/>
        <v>1.02446443399141</v>
      </c>
      <c r="AA101">
        <f t="shared" si="1095"/>
        <v>-2.2385376513676398</v>
      </c>
      <c r="AB101">
        <f t="shared" si="1096"/>
        <v>1.77728893881582</v>
      </c>
      <c r="AD101">
        <f t="shared" ref="AD101:AD115" si="1101">AD100+1</f>
        <v>96</v>
      </c>
      <c r="AE101">
        <f t="shared" si="1090"/>
        <v>10.8741378923564</v>
      </c>
    </row>
    <row r="102">
      <c r="A102">
        <f t="shared" si="1097"/>
        <v>96</v>
      </c>
      <c r="B102">
        <v>0.85739443406232341</v>
      </c>
      <c r="C102">
        <f t="shared" si="1098"/>
        <v>10.8741378923564</v>
      </c>
      <c r="E102">
        <f t="shared" si="1099"/>
        <v>97</v>
      </c>
      <c r="F102">
        <f t="shared" si="1089"/>
        <v>0.90090553585449995</v>
      </c>
      <c r="G102">
        <f t="shared" si="1100"/>
        <v>0.82079460681808103</v>
      </c>
      <c r="V102">
        <f t="shared" si="1091"/>
        <v>97</v>
      </c>
      <c r="W102">
        <f t="shared" si="1092"/>
        <v>0.90090553585449995</v>
      </c>
      <c r="X102">
        <f t="shared" si="1093"/>
        <v>0.82079460681808103</v>
      </c>
      <c r="Y102">
        <f t="shared" si="1094"/>
        <v>8.0110929036419004e-02</v>
      </c>
      <c r="Z102">
        <f t="shared" si="1075"/>
        <v>1.02446443399141</v>
      </c>
      <c r="AA102">
        <f t="shared" si="1095"/>
        <v>-1.9278023660553101</v>
      </c>
      <c r="AB102">
        <f t="shared" si="1096"/>
        <v>2.0880242241281501</v>
      </c>
      <c r="AD102">
        <f t="shared" si="1101"/>
        <v>97</v>
      </c>
      <c r="AE102">
        <f t="shared" si="1090"/>
        <v>11.048588930382</v>
      </c>
    </row>
    <row r="103">
      <c r="A103">
        <f t="shared" si="1097"/>
        <v>97</v>
      </c>
      <c r="B103">
        <v>0.60817129254501401</v>
      </c>
      <c r="C103">
        <f t="shared" si="1098"/>
        <v>11.048588930382</v>
      </c>
      <c r="E103">
        <f t="shared" si="1099"/>
        <v>98</v>
      </c>
      <c r="F103">
        <f t="shared" si="1089"/>
        <v>0.22942021387830097</v>
      </c>
      <c r="G103">
        <f t="shared" si="1100"/>
        <v>-4.7980774096758994e-02</v>
      </c>
      <c r="V103">
        <f t="shared" si="1091"/>
        <v>98</v>
      </c>
      <c r="W103">
        <f t="shared" si="1092"/>
        <v>0.22942021387830097</v>
      </c>
      <c r="X103">
        <f t="shared" si="1093"/>
        <v>-4.7980774096758994e-02</v>
      </c>
      <c r="Y103">
        <f t="shared" si="1094"/>
        <v>0.27740098797506002</v>
      </c>
      <c r="Z103">
        <f t="shared" si="1075"/>
        <v>1.02446443399141</v>
      </c>
      <c r="AA103">
        <f t="shared" si="1095"/>
        <v>-1.7305123071166699</v>
      </c>
      <c r="AB103">
        <f t="shared" si="1096"/>
        <v>2.2853142830667901</v>
      </c>
      <c r="AD103">
        <f t="shared" si="1101"/>
        <v>98</v>
      </c>
      <c r="AE103">
        <f t="shared" si="1090"/>
        <v>10.3771036084058</v>
      </c>
    </row>
    <row r="104">
      <c r="A104">
        <f t="shared" si="1097"/>
        <v>98</v>
      </c>
      <c r="B104">
        <v>-0.23527438435259729</v>
      </c>
      <c r="C104">
        <f t="shared" si="1098"/>
        <v>10.3771036084058</v>
      </c>
      <c r="E104">
        <f t="shared" si="1099"/>
        <v>99</v>
      </c>
      <c r="F104">
        <f t="shared" si="1089"/>
        <v>0.95305001194790184</v>
      </c>
      <c r="G104">
        <f t="shared" si="1100"/>
        <v>0.757422673100689</v>
      </c>
      <c r="V104">
        <f t="shared" si="1091"/>
        <v>99</v>
      </c>
      <c r="W104">
        <f t="shared" si="1092"/>
        <v>0.95305001194790184</v>
      </c>
      <c r="X104">
        <f t="shared" si="1093"/>
        <v>0.757422673100689</v>
      </c>
      <c r="Y104">
        <f t="shared" si="1094"/>
        <v>0.19562733884721301</v>
      </c>
      <c r="Z104">
        <f t="shared" si="1075"/>
        <v>1.02446443399141</v>
      </c>
      <c r="AA104">
        <f t="shared" si="1095"/>
        <v>-1.8122859562445199</v>
      </c>
      <c r="AB104">
        <f t="shared" si="1096"/>
        <v>2.2035406339389398</v>
      </c>
      <c r="AD104">
        <f t="shared" si="1101"/>
        <v>99</v>
      </c>
      <c r="AE104">
        <f t="shared" si="1090"/>
        <v>11.100733406475401</v>
      </c>
    </row>
    <row r="105">
      <c r="A105">
        <f t="shared" si="1097"/>
        <v>99</v>
      </c>
      <c r="B105">
        <v>0.78970600372079691</v>
      </c>
      <c r="C105">
        <f t="shared" si="1098"/>
        <v>11.100733406475401</v>
      </c>
      <c r="E105">
        <f t="shared" si="1099"/>
        <v>100</v>
      </c>
      <c r="F105">
        <f t="shared" si="1089"/>
        <v>-0.59122670475604999</v>
      </c>
      <c r="G105">
        <f t="shared" si="1100"/>
        <v>-0.93860722515435602</v>
      </c>
      <c r="V105">
        <f t="shared" si="1091"/>
        <v>100</v>
      </c>
      <c r="W105">
        <f t="shared" si="1092"/>
        <v>-0.59122670475604999</v>
      </c>
      <c r="X105">
        <f t="shared" si="1093"/>
        <v>-0.93860722515435602</v>
      </c>
      <c r="Y105">
        <f t="shared" si="1094"/>
        <v>0.34738052039830603</v>
      </c>
      <c r="Z105">
        <f t="shared" si="1075"/>
        <v>1.02446443399141</v>
      </c>
      <c r="AA105">
        <f t="shared" si="1095"/>
        <v>-1.66053277469342</v>
      </c>
      <c r="AB105">
        <f t="shared" si="1096"/>
        <v>2.35529381549004</v>
      </c>
      <c r="AD105">
        <f t="shared" si="1101"/>
        <v>100</v>
      </c>
      <c r="AE105">
        <f t="shared" si="1090"/>
        <v>9.5564566897714496</v>
      </c>
    </row>
    <row r="106">
      <c r="A106">
        <f t="shared" si="1097"/>
        <v>100</v>
      </c>
      <c r="B106">
        <v>-1.0561154940171853</v>
      </c>
      <c r="C106">
        <f t="shared" si="1098"/>
        <v>9.5564566897714496</v>
      </c>
      <c r="E106">
        <f t="shared" si="1099"/>
        <v>101</v>
      </c>
      <c r="F106">
        <f t="shared" si="1089"/>
        <v>-2.10713823296e-02</v>
      </c>
      <c r="G106">
        <f t="shared" si="1100"/>
        <v>-3.3532418949606006e-02</v>
      </c>
      <c r="V106">
        <f t="shared" si="1091"/>
        <v>101</v>
      </c>
      <c r="W106">
        <f t="shared" si="1092"/>
        <v>-2.10713823296e-02</v>
      </c>
      <c r="X106">
        <f t="shared" si="1093"/>
        <v>-3.3532418949606006e-02</v>
      </c>
      <c r="Y106">
        <f t="shared" si="1094"/>
        <v>1.2461036620005998e-02</v>
      </c>
      <c r="Z106">
        <f t="shared" si="1075"/>
        <v>1.02446443399141</v>
      </c>
      <c r="AA106">
        <f t="shared" si="1095"/>
        <v>-1.99545225847172</v>
      </c>
      <c r="AB106">
        <f t="shared" si="1096"/>
        <v>2.0203743317117402</v>
      </c>
      <c r="AD106">
        <f t="shared" si="1101"/>
        <v>101</v>
      </c>
      <c r="AE106">
        <f t="shared" si="1090"/>
        <v>10.126612012197899</v>
      </c>
    </row>
    <row r="107">
      <c r="A107">
        <f t="shared" si="1097"/>
        <v>101</v>
      </c>
      <c r="B107">
        <v>0.22586923055446756</v>
      </c>
      <c r="C107">
        <f t="shared" si="1098"/>
        <v>10.126612012197899</v>
      </c>
      <c r="E107">
        <f t="shared" si="1099"/>
        <v>102</v>
      </c>
      <c r="F107">
        <f t="shared" si="1089"/>
        <v>0.47097340519120101</v>
      </c>
      <c r="G107">
        <f t="shared" si="1100"/>
        <v>0.47049021234842903</v>
      </c>
      <c r="V107">
        <f t="shared" si="1091"/>
        <v>102</v>
      </c>
      <c r="W107">
        <f t="shared" si="1092"/>
        <v>0.47097340519120101</v>
      </c>
      <c r="X107">
        <f t="shared" si="1093"/>
        <v>0.47049021234842903</v>
      </c>
      <c r="Y107">
        <f t="shared" si="1094"/>
        <v>4.8319284277200005e-04</v>
      </c>
      <c r="Z107">
        <f t="shared" si="1075"/>
        <v>1.02446443399141</v>
      </c>
      <c r="AA107">
        <f t="shared" si="1095"/>
        <v>-2.0074301022489598</v>
      </c>
      <c r="AB107">
        <f t="shared" si="1096"/>
        <v>2.0083964879345002</v>
      </c>
      <c r="AD107">
        <f t="shared" si="1101"/>
        <v>102</v>
      </c>
      <c r="AE107">
        <f t="shared" si="1090"/>
        <v>10.6186567997187</v>
      </c>
    </row>
    <row r="108">
      <c r="A108">
        <f t="shared" si="1097"/>
        <v>102</v>
      </c>
      <c r="B108">
        <v>0.57520223729110798</v>
      </c>
      <c r="C108">
        <f t="shared" si="1098"/>
        <v>10.6186567997187</v>
      </c>
      <c r="E108">
        <f t="shared" si="1099"/>
        <v>103</v>
      </c>
      <c r="F108">
        <f t="shared" si="1089"/>
        <v>1.2216942529862</v>
      </c>
      <c r="G108">
        <f t="shared" si="1100"/>
        <v>1.09680759528975</v>
      </c>
      <c r="V108">
        <f t="shared" si="1091"/>
        <v>103</v>
      </c>
      <c r="W108">
        <f t="shared" si="1092"/>
        <v>1.2216942529862</v>
      </c>
      <c r="X108">
        <f t="shared" si="1093"/>
        <v>1.09680759528975</v>
      </c>
      <c r="Y108">
        <f t="shared" si="1094"/>
        <v>0.12488665769644999</v>
      </c>
      <c r="Z108">
        <f t="shared" si="1075"/>
        <v>1.02446443399141</v>
      </c>
      <c r="AA108">
        <f t="shared" si="1095"/>
        <v>-1.88302663739528</v>
      </c>
      <c r="AB108">
        <f t="shared" si="1096"/>
        <v>2.1327999527881798</v>
      </c>
      <c r="AD108">
        <f t="shared" si="1101"/>
        <v>103</v>
      </c>
      <c r="AE108">
        <f t="shared" si="1090"/>
        <v>11.3693776475137</v>
      </c>
    </row>
    <row r="109">
      <c r="A109">
        <f t="shared" si="1097"/>
        <v>103</v>
      </c>
      <c r="B109">
        <v>1.0513583351687668</v>
      </c>
      <c r="C109">
        <f t="shared" si="1098"/>
        <v>11.3693776475137</v>
      </c>
      <c r="E109">
        <f t="shared" si="1099"/>
        <v>104</v>
      </c>
      <c r="F109">
        <f t="shared" si="1089"/>
        <v>0.61375882570790097</v>
      </c>
      <c r="G109">
        <f t="shared" si="1100"/>
        <v>0.22967970691392198</v>
      </c>
      <c r="V109">
        <f t="shared" si="1091"/>
        <v>104</v>
      </c>
      <c r="W109">
        <f t="shared" si="1092"/>
        <v>0.61375882570790097</v>
      </c>
      <c r="X109">
        <f t="shared" si="1093"/>
        <v>0.22967970691392198</v>
      </c>
      <c r="Y109">
        <f t="shared" si="1094"/>
        <v>0.38407911879397899</v>
      </c>
      <c r="Z109">
        <f t="shared" si="1075"/>
        <v>1.02446443399141</v>
      </c>
      <c r="AA109">
        <f t="shared" si="1095"/>
        <v>-1.62383417629775</v>
      </c>
      <c r="AB109">
        <f t="shared" si="1096"/>
        <v>2.3919924138857098</v>
      </c>
      <c r="AD109">
        <f t="shared" si="1101"/>
        <v>104</v>
      </c>
      <c r="AE109">
        <f t="shared" si="1090"/>
        <v>10.7614422202354</v>
      </c>
    </row>
    <row r="110">
      <c r="A110">
        <f t="shared" si="1097"/>
        <v>104</v>
      </c>
      <c r="B110">
        <v>1.3149534009556495e-02</v>
      </c>
      <c r="C110">
        <f t="shared" si="1098"/>
        <v>10.7614422202354</v>
      </c>
      <c r="E110" s="14">
        <f t="shared" si="1099"/>
        <v>105</v>
      </c>
      <c r="F110" s="14">
        <f t="shared" si="1089"/>
        <v>1.8070816609555</v>
      </c>
      <c r="G110" s="14">
        <f t="shared" si="1100"/>
        <v>1.45785185445682</v>
      </c>
      <c r="V110">
        <f t="shared" si="1091"/>
        <v>105</v>
      </c>
      <c r="W110">
        <f t="shared" si="1092"/>
        <v>1.8070816609555</v>
      </c>
      <c r="X110">
        <f t="shared" si="1093"/>
        <v>1.45785185445682</v>
      </c>
      <c r="Y110">
        <f t="shared" si="1094"/>
        <v>0.34922980649868002</v>
      </c>
      <c r="Z110">
        <f t="shared" si="1075"/>
        <v>1.02446443399141</v>
      </c>
      <c r="AA110">
        <f t="shared" si="1095"/>
        <v>-1.6586834885930499</v>
      </c>
      <c r="AB110">
        <f t="shared" si="1096"/>
        <v>2.3571431015904101</v>
      </c>
      <c r="AD110" s="14">
        <f t="shared" si="1101"/>
        <v>105</v>
      </c>
      <c r="AE110" s="14">
        <f t="shared" si="1090"/>
        <v>11.954765055483</v>
      </c>
    </row>
    <row r="111">
      <c r="A111">
        <f t="shared" si="1097"/>
        <v>105</v>
      </c>
      <c r="B111" s="14">
        <v>1.4243854081201066</v>
      </c>
      <c r="C111" s="14">
        <f t="shared" si="1098"/>
        <v>11.954765055483</v>
      </c>
      <c r="V111">
        <f t="shared" ref="V111:V115" si="1102">V110+1</f>
        <v>106</v>
      </c>
      <c r="Y111">
        <f>SUMPRODUCT(W110,J$6)+SUMPRODUCT(X110,K$6)</f>
        <v>0.64811627506722402</v>
      </c>
      <c r="Z111" t="e">
        <f t="shared" ref="Z111:Z115" si="1103">K$16*SQRT(SUMSQ(N$16:N16))</f>
        <v>#NAME?</v>
      </c>
      <c r="AA111" t="e">
        <f t="shared" si="1095"/>
        <v>#NAME?</v>
      </c>
      <c r="AB111" t="e">
        <f t="shared" si="1096"/>
        <v>#NAME?</v>
      </c>
      <c r="AD111">
        <f t="shared" si="1101"/>
        <v>106</v>
      </c>
      <c r="AE111">
        <f t="shared" ref="AE111:AE115" si="1104">Y111+K$7</f>
        <v>10.7957996695947</v>
      </c>
    </row>
    <row r="112">
      <c r="V112">
        <f t="shared" si="1102"/>
        <v>107</v>
      </c>
      <c r="Y112">
        <f>SUMPRODUCT(Y111,J6)</f>
        <v>0.48673107153187001</v>
      </c>
      <c r="Z112" t="e">
        <f t="shared" si="1103"/>
        <v>#NAME?</v>
      </c>
      <c r="AA112" t="e">
        <f t="shared" si="1095"/>
        <v>#NAME?</v>
      </c>
      <c r="AB112" t="e">
        <f t="shared" si="1096"/>
        <v>#NAME?</v>
      </c>
      <c r="AD112">
        <f t="shared" si="1101"/>
        <v>107</v>
      </c>
      <c r="AE112">
        <f t="shared" si="1104"/>
        <v>10.6344144660594</v>
      </c>
    </row>
    <row r="113">
      <c r="B113" s="20" t="s">
        <v>576</v>
      </c>
      <c r="V113">
        <f t="shared" si="1102"/>
        <v>108</v>
      </c>
      <c r="Y113">
        <f>SUMPRODUCT(Y112,J6)</f>
        <v>0.36553184221456297</v>
      </c>
      <c r="Z113" t="e">
        <f t="shared" si="1103"/>
        <v>#NAME?</v>
      </c>
      <c r="AA113" t="e">
        <f t="shared" si="1095"/>
        <v>#NAME?</v>
      </c>
      <c r="AB113" t="e">
        <f t="shared" si="1096"/>
        <v>#NAME?</v>
      </c>
      <c r="AD113">
        <f t="shared" si="1101"/>
        <v>108</v>
      </c>
      <c r="AE113">
        <f t="shared" si="1104"/>
        <v>10.5132152367421</v>
      </c>
    </row>
    <row r="114">
      <c r="V114">
        <f t="shared" si="1102"/>
        <v>109</v>
      </c>
      <c r="Y114">
        <f>SUMPRODUCT(Y113,J6)</f>
        <v>0.27451201595216701</v>
      </c>
      <c r="Z114" t="e">
        <f t="shared" si="1103"/>
        <v>#NAME?</v>
      </c>
      <c r="AA114" t="e">
        <f t="shared" si="1095"/>
        <v>#NAME?</v>
      </c>
      <c r="AB114" t="e">
        <f t="shared" si="1096"/>
        <v>#NAME?</v>
      </c>
      <c r="AD114">
        <f t="shared" si="1101"/>
        <v>109</v>
      </c>
      <c r="AE114">
        <f t="shared" si="1104"/>
        <v>10.4221954104797</v>
      </c>
    </row>
    <row r="115">
      <c r="V115" s="14">
        <f t="shared" si="1102"/>
        <v>110</v>
      </c>
      <c r="W115" s="14"/>
      <c r="X115" s="14"/>
      <c r="Y115" s="14">
        <f>SUMPRODUCT(Y114,J6)</f>
        <v>0.206156723435025</v>
      </c>
      <c r="Z115" s="14" t="e">
        <f t="shared" si="1103"/>
        <v>#NAME?</v>
      </c>
      <c r="AA115" s="14" t="e">
        <f t="shared" si="1095"/>
        <v>#NAME?</v>
      </c>
      <c r="AB115" s="14" t="e">
        <f t="shared" si="1096"/>
        <v>#NAME?</v>
      </c>
      <c r="AD115" s="14">
        <f t="shared" si="1101"/>
        <v>110</v>
      </c>
      <c r="AE115" s="14">
        <f t="shared" si="1104"/>
        <v>10.3538401179625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R6" activeCellId="0" sqref="R6:S8"/>
    </sheetView>
  </sheetViews>
  <sheetFormatPr defaultRowHeight="14.25"/>
  <cols>
    <col customWidth="1" min="1" max="1" width="4.8125"/>
  </cols>
  <sheetData>
    <row r="1">
      <c r="A1" s="1" t="s">
        <v>574</v>
      </c>
    </row>
    <row r="2">
      <c r="A2" s="55"/>
      <c r="B2" s="55"/>
      <c r="C2" s="55"/>
    </row>
    <row r="3" ht="15" customHeight="1">
      <c r="A3" s="55" t="s">
        <v>575</v>
      </c>
      <c r="B3" s="55"/>
      <c r="C3" s="55"/>
      <c r="E3" t="s">
        <v>578</v>
      </c>
      <c r="I3" t="s">
        <v>475</v>
      </c>
      <c r="M3" t="s">
        <v>476</v>
      </c>
      <c r="Q3" t="s">
        <v>477</v>
      </c>
      <c r="W3" t="s">
        <v>478</v>
      </c>
      <c r="AE3" t="s">
        <v>479</v>
      </c>
    </row>
    <row r="4">
      <c r="A4" s="55"/>
      <c r="B4" s="55"/>
      <c r="C4" s="55"/>
      <c r="Z4" t="s">
        <v>385</v>
      </c>
      <c r="AA4">
        <v>5.0000000000000003e-02</v>
      </c>
    </row>
    <row r="5">
      <c r="B5" s="4" t="s">
        <v>342</v>
      </c>
      <c r="C5" s="4" t="s">
        <v>343</v>
      </c>
      <c r="E5" s="24" t="s">
        <v>355</v>
      </c>
      <c r="F5" s="24" t="s">
        <v>173</v>
      </c>
      <c r="G5" s="24" t="s">
        <v>480</v>
      </c>
      <c r="I5" s="24" t="s">
        <v>481</v>
      </c>
      <c r="J5" s="24" t="s">
        <v>482</v>
      </c>
      <c r="K5" s="24" t="s">
        <v>483</v>
      </c>
      <c r="M5" s="24" t="s">
        <v>469</v>
      </c>
      <c r="N5" s="24" t="s">
        <v>470</v>
      </c>
      <c r="O5" s="24" t="s">
        <v>484</v>
      </c>
      <c r="Q5" s="24" t="s">
        <v>485</v>
      </c>
      <c r="R5" s="24" t="s">
        <v>391</v>
      </c>
      <c r="S5" s="24" t="s">
        <v>183</v>
      </c>
      <c r="T5" s="24" t="s">
        <v>582</v>
      </c>
      <c r="U5" s="24" t="s">
        <v>189</v>
      </c>
      <c r="W5" s="24" t="s">
        <v>355</v>
      </c>
      <c r="X5" s="24" t="s">
        <v>173</v>
      </c>
      <c r="Y5" s="24" t="s">
        <v>480</v>
      </c>
      <c r="Z5" s="24" t="s">
        <v>208</v>
      </c>
      <c r="AA5" s="24" t="s">
        <v>183</v>
      </c>
      <c r="AB5" s="24" t="s">
        <v>215</v>
      </c>
      <c r="AC5" s="24" t="s">
        <v>216</v>
      </c>
      <c r="AE5" s="24" t="s">
        <v>355</v>
      </c>
      <c r="AF5" s="24" t="s">
        <v>193</v>
      </c>
    </row>
    <row r="6">
      <c r="B6" s="15"/>
      <c r="C6" s="15"/>
      <c r="E6">
        <v>1</v>
      </c>
      <c r="F6">
        <f t="shared" ref="F6:F8" si="1105">C7</f>
        <v>0.11767564756553402</v>
      </c>
      <c r="G6">
        <v>0</v>
      </c>
      <c r="I6" s="15">
        <v>1</v>
      </c>
      <c r="J6" t="e">
        <f>R7</f>
        <v>#NAME?</v>
      </c>
      <c r="K6" t="e">
        <f>R8</f>
        <v>#NAME?</v>
      </c>
      <c r="M6" s="26" t="e">
        <v>#NAME?</v>
      </c>
      <c r="N6" s="26" t="e">
        <v>#NAME?</v>
      </c>
      <c r="O6" s="26" t="e">
        <v>#NAME?</v>
      </c>
      <c r="Q6" t="s">
        <v>494</v>
      </c>
      <c r="R6" t="e">
        <v>#NAME?</v>
      </c>
      <c r="S6" t="e">
        <v>#NAME?</v>
      </c>
      <c r="T6" t="e">
        <f t="shared" ref="T6:T8" si="1106">R6/S6</f>
        <v>#NAME?</v>
      </c>
      <c r="U6" t="e">
        <f t="shared" ref="U6:U8" si="1107">TDIST(ABS(T6),K$19-K$11-K$12-1,2)</f>
        <v>#NAME?</v>
      </c>
      <c r="W6">
        <f t="shared" ref="W6:W9" si="1108">E6</f>
        <v>1</v>
      </c>
      <c r="X6">
        <f t="shared" ref="X6:X9" si="1109">F6</f>
        <v>0.11767564756553402</v>
      </c>
      <c r="Y6">
        <f t="shared" ref="Y6:Y9" si="1110">G6</f>
        <v>0</v>
      </c>
      <c r="Z6">
        <f t="shared" ref="Z6:Z9" si="1111">X6-Y6</f>
        <v>0.11767564756553402</v>
      </c>
      <c r="AA6" t="e">
        <f t="shared" ref="AA6:AA69" si="1112">K$16</f>
        <v>#NAME?</v>
      </c>
      <c r="AB6" t="e">
        <f t="shared" ref="AB6:AB9" si="1113">Z6-NORMSINV(1-AA$4/2)*AA6</f>
        <v>#NAME?</v>
      </c>
      <c r="AC6" t="e">
        <f t="shared" ref="AC6:AC9" si="1114">Z6+NORMSINV(1-AA$4/2)*AA6</f>
        <v>#NAME?</v>
      </c>
      <c r="AE6">
        <v>1</v>
      </c>
      <c r="AF6">
        <f t="shared" ref="AF6:AF8" si="1115">C7</f>
        <v>0.11767564756553402</v>
      </c>
    </row>
    <row r="7">
      <c r="A7">
        <v>1</v>
      </c>
      <c r="B7">
        <v>0.11767564756553414</v>
      </c>
      <c r="C7">
        <f t="shared" ref="C7:C9" si="1116">0.7*C6+B7-0.2*B6</f>
        <v>0.11767564756553402</v>
      </c>
      <c r="E7">
        <f t="shared" ref="E7:E10" si="1117">E6+1</f>
        <v>2</v>
      </c>
      <c r="F7">
        <f t="shared" si="1105"/>
        <v>0.70825108579892804</v>
      </c>
      <c r="G7" t="e">
        <f t="shared" ref="G7:G9" si="1118">F7-SUMPRODUCT(F6,J$6)-SUMPRODUCT(G6,K$6)</f>
        <v>#NAME?</v>
      </c>
      <c r="I7" s="17" t="s">
        <v>494</v>
      </c>
      <c r="J7" s="14" t="e">
        <f>R6</f>
        <v>#NAME?</v>
      </c>
      <c r="K7" s="14" t="e">
        <f>J7/(1-SUM(J6))</f>
        <v>#NAME?</v>
      </c>
      <c r="Q7" t="s">
        <v>488</v>
      </c>
      <c r="R7" t="e">
        <v>#NAME?</v>
      </c>
      <c r="S7" t="e">
        <v>#NAME?</v>
      </c>
      <c r="T7" t="e">
        <f t="shared" si="1106"/>
        <v>#NAME?</v>
      </c>
      <c r="U7" t="e">
        <f t="shared" si="1107"/>
        <v>#NAME?</v>
      </c>
      <c r="W7">
        <f t="shared" si="1108"/>
        <v>2</v>
      </c>
      <c r="X7">
        <f t="shared" si="1109"/>
        <v>0.70825108579892804</v>
      </c>
      <c r="Y7" t="e">
        <f t="shared" si="1110"/>
        <v>#NAME?</v>
      </c>
      <c r="Z7" t="e">
        <f t="shared" si="1111"/>
        <v>#NAME?</v>
      </c>
      <c r="AA7" t="e">
        <f t="shared" si="1112"/>
        <v>#NAME?</v>
      </c>
      <c r="AB7" t="e">
        <f t="shared" si="1113"/>
        <v>#NAME?</v>
      </c>
      <c r="AC7" t="e">
        <f t="shared" si="1114"/>
        <v>#NAME?</v>
      </c>
      <c r="AE7">
        <f t="shared" ref="AE7:AE10" si="1119">AE6+1</f>
        <v>2</v>
      </c>
      <c r="AF7">
        <f t="shared" si="1115"/>
        <v>0.70825108579892804</v>
      </c>
    </row>
    <row r="8">
      <c r="A8">
        <f t="shared" ref="A8:A10" si="1120">A7+1</f>
        <v>2</v>
      </c>
      <c r="B8">
        <v>0.64941326201616079</v>
      </c>
      <c r="C8">
        <f t="shared" si="1116"/>
        <v>0.70825108579892804</v>
      </c>
      <c r="E8">
        <f t="shared" si="1117"/>
        <v>3</v>
      </c>
      <c r="F8">
        <f t="shared" si="1105"/>
        <v>-1.6632314016182199</v>
      </c>
      <c r="G8" t="e">
        <f t="shared" si="1118"/>
        <v>#NAME?</v>
      </c>
      <c r="M8" t="s">
        <v>495</v>
      </c>
      <c r="Q8" s="14" t="s">
        <v>581</v>
      </c>
      <c r="R8" s="14" t="e">
        <v>#NAME?</v>
      </c>
      <c r="S8" s="14" t="e">
        <v>#NAME?</v>
      </c>
      <c r="T8" s="14" t="e">
        <f t="shared" si="1106"/>
        <v>#NAME?</v>
      </c>
      <c r="U8" s="14" t="e">
        <f t="shared" si="1107"/>
        <v>#NAME?</v>
      </c>
      <c r="W8">
        <f t="shared" si="1108"/>
        <v>3</v>
      </c>
      <c r="X8">
        <f t="shared" si="1109"/>
        <v>-1.6632314016182199</v>
      </c>
      <c r="Y8" t="e">
        <f t="shared" si="1110"/>
        <v>#NAME?</v>
      </c>
      <c r="Z8" t="e">
        <f t="shared" si="1111"/>
        <v>#NAME?</v>
      </c>
      <c r="AA8" t="e">
        <f t="shared" si="1112"/>
        <v>#NAME?</v>
      </c>
      <c r="AB8" t="e">
        <f t="shared" si="1113"/>
        <v>#NAME?</v>
      </c>
      <c r="AC8" t="e">
        <f t="shared" si="1114"/>
        <v>#NAME?</v>
      </c>
      <c r="AE8">
        <f t="shared" si="1119"/>
        <v>3</v>
      </c>
      <c r="AF8">
        <f t="shared" si="1115"/>
        <v>-1.6632314016182199</v>
      </c>
    </row>
    <row r="9">
      <c r="A9">
        <f t="shared" si="1120"/>
        <v>3</v>
      </c>
      <c r="B9">
        <v>-2.0291245092742414</v>
      </c>
      <c r="C9">
        <f t="shared" si="1116"/>
        <v>-1.6632314016182199</v>
      </c>
      <c r="E9">
        <f t="shared" si="1117"/>
        <v>4</v>
      </c>
      <c r="F9">
        <f t="shared" ref="F9:F72" si="1121">C10</f>
        <v>-1.4795255177397499</v>
      </c>
      <c r="G9" t="e">
        <f t="shared" si="1118"/>
        <v>#NAME?</v>
      </c>
      <c r="J9" t="s">
        <v>464</v>
      </c>
      <c r="K9" s="18" t="e">
        <f>SUMSQ(G7:G110)</f>
        <v>#NAME?</v>
      </c>
      <c r="W9">
        <f t="shared" si="1108"/>
        <v>4</v>
      </c>
      <c r="X9">
        <f t="shared" si="1109"/>
        <v>-1.4795255177397499</v>
      </c>
      <c r="Y9" t="e">
        <f t="shared" si="1110"/>
        <v>#NAME?</v>
      </c>
      <c r="Z9" t="e">
        <f t="shared" si="1111"/>
        <v>#NAME?</v>
      </c>
      <c r="AA9" t="e">
        <f t="shared" si="1112"/>
        <v>#NAME?</v>
      </c>
      <c r="AB9" t="e">
        <f t="shared" si="1113"/>
        <v>#NAME?</v>
      </c>
      <c r="AC9" t="e">
        <f t="shared" si="1114"/>
        <v>#NAME?</v>
      </c>
      <c r="AE9">
        <f t="shared" si="1119"/>
        <v>4</v>
      </c>
      <c r="AF9">
        <f t="shared" ref="AF9:AF72" si="1122">C10</f>
        <v>-1.4795255177397499</v>
      </c>
    </row>
    <row r="10">
      <c r="A10">
        <f t="shared" si="1120"/>
        <v>4</v>
      </c>
      <c r="B10">
        <v>-0.72108843846184933</v>
      </c>
      <c r="C10">
        <f>0.7*C9+B10-0.2*B9</f>
        <v>-1.4795255177397499</v>
      </c>
      <c r="E10">
        <f t="shared" si="1117"/>
        <v>5</v>
      </c>
      <c r="F10">
        <f t="shared" si="1121"/>
        <v>-0.183973688234292</v>
      </c>
      <c r="G10" t="e">
        <f>F10-SUMPRODUCT(F9,J$6)-SUMPRODUCT(G9,K$6)</f>
        <v>#NAME?</v>
      </c>
      <c r="M10" s="24" t="s">
        <v>469</v>
      </c>
      <c r="N10" s="24" t="s">
        <v>470</v>
      </c>
      <c r="O10" s="24" t="s">
        <v>484</v>
      </c>
      <c r="Q10" t="e">
        <v>#NAME?</v>
      </c>
      <c r="R10" t="e">
        <v>#NAME?</v>
      </c>
      <c r="S10" t="e">
        <v>#NAME?</v>
      </c>
      <c r="T10" t="e">
        <v>#NAME?</v>
      </c>
      <c r="U10" t="e">
        <v>#NAME?</v>
      </c>
      <c r="W10">
        <f t="shared" ref="W10:W73" si="1123">E10</f>
        <v>5</v>
      </c>
      <c r="X10">
        <f t="shared" ref="X10:X73" si="1124">F10</f>
        <v>-0.183973688234292</v>
      </c>
      <c r="Y10" t="e">
        <f t="shared" ref="Y10:Y73" si="1125">G10</f>
        <v>#NAME?</v>
      </c>
      <c r="Z10" t="e">
        <f t="shared" ref="Z10:Z73" si="1126">X10-Y10</f>
        <v>#NAME?</v>
      </c>
      <c r="AA10" t="e">
        <f t="shared" si="1112"/>
        <v>#NAME?</v>
      </c>
      <c r="AB10" t="e">
        <f t="shared" ref="AB10:AB73" si="1127">Z10-NORMSINV(1-AA$4/2)*AA10</f>
        <v>#NAME?</v>
      </c>
      <c r="AC10" t="e">
        <f t="shared" ref="AC10:AC73" si="1128">Z10+NORMSINV(1-AA$4/2)*AA10</f>
        <v>#NAME?</v>
      </c>
      <c r="AE10">
        <f t="shared" si="1119"/>
        <v>5</v>
      </c>
      <c r="AF10">
        <f t="shared" si="1122"/>
        <v>-0.183973688234292</v>
      </c>
    </row>
    <row r="11">
      <c r="A11">
        <f t="shared" ref="A11:A74" si="1129">A10+1</f>
        <v>5</v>
      </c>
      <c r="B11">
        <v>0.70747648649116812</v>
      </c>
      <c r="C11">
        <f t="shared" ref="C11:C74" si="1130">0.7*C10+B11-0.2*B10</f>
        <v>-0.183973688234292</v>
      </c>
      <c r="E11">
        <f t="shared" ref="E11:E74" si="1131">E10+1</f>
        <v>6</v>
      </c>
      <c r="F11">
        <f t="shared" si="1121"/>
        <v>0.52135742664597595</v>
      </c>
      <c r="G11" t="e">
        <f t="shared" ref="G11:G74" si="1132">F11-SUMPRODUCT(F10,J$6)-SUMPRODUCT(G10,K$6)</f>
        <v>#NAME?</v>
      </c>
      <c r="J11" t="s">
        <v>497</v>
      </c>
      <c r="K11" s="7">
        <v>1</v>
      </c>
      <c r="M11" s="26" t="e">
        <v>#NAME?</v>
      </c>
      <c r="N11" s="26" t="e">
        <v>#NAME?</v>
      </c>
      <c r="O11" s="26" t="e">
        <v>#NAME?</v>
      </c>
      <c r="Q11" t="e">
        <v>#NAME?</v>
      </c>
      <c r="R11" s="5" t="e">
        <v>#NAME?</v>
      </c>
      <c r="S11" s="42" t="e">
        <v>#NAME?</v>
      </c>
      <c r="T11" s="42" t="e">
        <v>#NAME?</v>
      </c>
      <c r="U11" s="6" t="e">
        <v>#NAME?</v>
      </c>
      <c r="W11">
        <f t="shared" si="1123"/>
        <v>6</v>
      </c>
      <c r="X11">
        <f t="shared" si="1124"/>
        <v>0.52135742664597595</v>
      </c>
      <c r="Y11" t="e">
        <f t="shared" si="1125"/>
        <v>#NAME?</v>
      </c>
      <c r="Z11" t="e">
        <f t="shared" si="1126"/>
        <v>#NAME?</v>
      </c>
      <c r="AA11" t="e">
        <f t="shared" si="1112"/>
        <v>#NAME?</v>
      </c>
      <c r="AB11" t="e">
        <f t="shared" si="1127"/>
        <v>#NAME?</v>
      </c>
      <c r="AC11" t="e">
        <f t="shared" si="1128"/>
        <v>#NAME?</v>
      </c>
      <c r="AE11">
        <f t="shared" ref="AE11:AE74" si="1133">AE10+1</f>
        <v>6</v>
      </c>
      <c r="AF11">
        <f t="shared" si="1122"/>
        <v>0.52135742664597595</v>
      </c>
    </row>
    <row r="12">
      <c r="A12">
        <f t="shared" si="1129"/>
        <v>6</v>
      </c>
      <c r="B12">
        <v>0.79163430570821358</v>
      </c>
      <c r="C12">
        <f t="shared" si="1130"/>
        <v>0.52135742664597595</v>
      </c>
      <c r="E12">
        <f t="shared" si="1131"/>
        <v>7</v>
      </c>
      <c r="F12">
        <f t="shared" si="1121"/>
        <v>-2.8806316112840003e-02</v>
      </c>
      <c r="G12" t="e">
        <f t="shared" si="1132"/>
        <v>#NAME?</v>
      </c>
      <c r="J12" t="s">
        <v>498</v>
      </c>
      <c r="K12" s="10">
        <v>1</v>
      </c>
      <c r="Q12" t="e">
        <v>#NAME?</v>
      </c>
      <c r="R12" s="8" t="e">
        <v>#NAME?</v>
      </c>
      <c r="S12" t="e">
        <v>#NAME?</v>
      </c>
      <c r="T12" t="e">
        <v>#NAME?</v>
      </c>
      <c r="U12" s="9" t="e">
        <v>#NAME?</v>
      </c>
      <c r="W12">
        <f t="shared" si="1123"/>
        <v>7</v>
      </c>
      <c r="X12">
        <f t="shared" si="1124"/>
        <v>-2.8806316112840003e-02</v>
      </c>
      <c r="Y12" t="e">
        <f t="shared" si="1125"/>
        <v>#NAME?</v>
      </c>
      <c r="Z12" t="e">
        <f t="shared" si="1126"/>
        <v>#NAME?</v>
      </c>
      <c r="AA12" t="e">
        <f t="shared" si="1112"/>
        <v>#NAME?</v>
      </c>
      <c r="AB12" t="e">
        <f t="shared" si="1127"/>
        <v>#NAME?</v>
      </c>
      <c r="AC12" t="e">
        <f t="shared" si="1128"/>
        <v>#NAME?</v>
      </c>
      <c r="AE12">
        <f t="shared" si="1133"/>
        <v>7</v>
      </c>
      <c r="AF12">
        <f t="shared" si="1122"/>
        <v>-2.8806316112840003e-02</v>
      </c>
    </row>
    <row r="13">
      <c r="A13">
        <f t="shared" si="1129"/>
        <v>7</v>
      </c>
      <c r="B13">
        <v>-0.23542965362338003</v>
      </c>
      <c r="C13">
        <f t="shared" si="1130"/>
        <v>-2.8806316112840003e-02</v>
      </c>
      <c r="E13">
        <f t="shared" si="1131"/>
        <v>8</v>
      </c>
      <c r="F13">
        <f t="shared" si="1121"/>
        <v>-1.32202661869702</v>
      </c>
      <c r="G13" t="e">
        <f t="shared" si="1132"/>
        <v>#NAME?</v>
      </c>
      <c r="J13" t="s">
        <v>181</v>
      </c>
      <c r="K13" s="10">
        <v>0</v>
      </c>
      <c r="M13" t="s">
        <v>499</v>
      </c>
      <c r="Q13" t="e">
        <v>#NAME?</v>
      </c>
      <c r="R13" s="11" t="e">
        <v>#NAME?</v>
      </c>
      <c r="S13" s="14" t="e">
        <v>#NAME?</v>
      </c>
      <c r="T13" s="14" t="e">
        <v>#NAME?</v>
      </c>
      <c r="U13" s="12" t="e">
        <v>#NAME?</v>
      </c>
      <c r="W13">
        <f t="shared" si="1123"/>
        <v>8</v>
      </c>
      <c r="X13">
        <f t="shared" si="1124"/>
        <v>-1.32202661869702</v>
      </c>
      <c r="Y13" t="e">
        <f t="shared" si="1125"/>
        <v>#NAME?</v>
      </c>
      <c r="Z13" t="e">
        <f t="shared" si="1126"/>
        <v>#NAME?</v>
      </c>
      <c r="AA13" t="e">
        <f t="shared" si="1112"/>
        <v>#NAME?</v>
      </c>
      <c r="AB13" t="e">
        <f t="shared" si="1127"/>
        <v>#NAME?</v>
      </c>
      <c r="AC13" t="e">
        <f t="shared" si="1128"/>
        <v>#NAME?</v>
      </c>
      <c r="AE13">
        <f t="shared" si="1133"/>
        <v>8</v>
      </c>
      <c r="AF13">
        <f t="shared" si="1122"/>
        <v>-1.32202661869702</v>
      </c>
    </row>
    <row r="14">
      <c r="A14">
        <f t="shared" si="1129"/>
        <v>8</v>
      </c>
      <c r="B14">
        <v>-1.3489481281427076</v>
      </c>
      <c r="C14">
        <f t="shared" si="1130"/>
        <v>-1.32202661869702</v>
      </c>
      <c r="E14">
        <f t="shared" si="1131"/>
        <v>9</v>
      </c>
      <c r="F14">
        <f t="shared" si="1121"/>
        <v>0.54995509917292795</v>
      </c>
      <c r="G14" t="e">
        <f t="shared" si="1132"/>
        <v>#NAME?</v>
      </c>
      <c r="J14" t="s">
        <v>500</v>
      </c>
      <c r="K14" s="10" t="e">
        <f>AVERAGE(G7:G110)</f>
        <v>#NAME?</v>
      </c>
      <c r="W14">
        <f t="shared" si="1123"/>
        <v>9</v>
      </c>
      <c r="X14">
        <f t="shared" si="1124"/>
        <v>0.54995509917292795</v>
      </c>
      <c r="Y14" t="e">
        <f t="shared" si="1125"/>
        <v>#NAME?</v>
      </c>
      <c r="Z14" t="e">
        <f t="shared" si="1126"/>
        <v>#NAME?</v>
      </c>
      <c r="AA14" t="e">
        <f t="shared" si="1112"/>
        <v>#NAME?</v>
      </c>
      <c r="AB14" t="e">
        <f t="shared" si="1127"/>
        <v>#NAME?</v>
      </c>
      <c r="AC14" t="e">
        <f t="shared" si="1128"/>
        <v>#NAME?</v>
      </c>
      <c r="AE14">
        <f t="shared" si="1133"/>
        <v>9</v>
      </c>
      <c r="AF14">
        <f t="shared" si="1122"/>
        <v>0.54995509917292795</v>
      </c>
    </row>
    <row r="15">
      <c r="A15">
        <f t="shared" si="1129"/>
        <v>9</v>
      </c>
      <c r="B15">
        <v>1.2055841066323034</v>
      </c>
      <c r="C15">
        <f t="shared" si="1130"/>
        <v>0.54995509917292795</v>
      </c>
      <c r="E15">
        <f t="shared" si="1131"/>
        <v>10</v>
      </c>
      <c r="F15">
        <f t="shared" si="1121"/>
        <v>1.32767159800418</v>
      </c>
      <c r="G15" t="e">
        <f t="shared" si="1132"/>
        <v>#NAME?</v>
      </c>
      <c r="J15" t="s">
        <v>502</v>
      </c>
      <c r="K15" s="10" t="e">
        <f>STDEV(G7:G110)</f>
        <v>#NAME?</v>
      </c>
      <c r="M15" s="24" t="s">
        <v>481</v>
      </c>
      <c r="N15" s="24" t="s">
        <v>501</v>
      </c>
      <c r="Q15" t="e">
        <v>#NAME?</v>
      </c>
      <c r="R15" s="7" t="e">
        <v>#NAME?</v>
      </c>
      <c r="W15">
        <f t="shared" si="1123"/>
        <v>10</v>
      </c>
      <c r="X15">
        <f t="shared" si="1124"/>
        <v>1.32767159800418</v>
      </c>
      <c r="Y15" t="e">
        <f t="shared" si="1125"/>
        <v>#NAME?</v>
      </c>
      <c r="Z15" t="e">
        <f t="shared" si="1126"/>
        <v>#NAME?</v>
      </c>
      <c r="AA15" t="e">
        <f t="shared" si="1112"/>
        <v>#NAME?</v>
      </c>
      <c r="AB15" t="e">
        <f t="shared" si="1127"/>
        <v>#NAME?</v>
      </c>
      <c r="AC15" t="e">
        <f t="shared" si="1128"/>
        <v>#NAME?</v>
      </c>
      <c r="AE15">
        <f t="shared" si="1133"/>
        <v>10</v>
      </c>
      <c r="AF15">
        <f t="shared" si="1122"/>
        <v>1.32767159800418</v>
      </c>
    </row>
    <row r="16">
      <c r="A16">
        <f t="shared" si="1129"/>
        <v>10</v>
      </c>
      <c r="B16">
        <v>1.1838198499095891</v>
      </c>
      <c r="C16">
        <f t="shared" si="1130"/>
        <v>1.32767159800418</v>
      </c>
      <c r="E16">
        <f t="shared" si="1131"/>
        <v>11</v>
      </c>
      <c r="F16">
        <f t="shared" si="1121"/>
        <v>0.32031075448298602</v>
      </c>
      <c r="G16" t="e">
        <f t="shared" si="1132"/>
        <v>#NAME?</v>
      </c>
      <c r="J16" t="s">
        <v>503</v>
      </c>
      <c r="K16" s="10" t="e">
        <f>SQRT(K9/K19)</f>
        <v>#NAME?</v>
      </c>
      <c r="M16" s="42">
        <v>0</v>
      </c>
      <c r="N16" s="42" t="e">
        <v>#NAME?</v>
      </c>
      <c r="Q16" t="e">
        <v>#NAME?</v>
      </c>
      <c r="R16" s="10" t="e">
        <v>#NAME?</v>
      </c>
      <c r="W16">
        <f t="shared" si="1123"/>
        <v>11</v>
      </c>
      <c r="X16">
        <f t="shared" si="1124"/>
        <v>0.32031075448298602</v>
      </c>
      <c r="Y16" t="e">
        <f t="shared" si="1125"/>
        <v>#NAME?</v>
      </c>
      <c r="Z16" t="e">
        <f t="shared" si="1126"/>
        <v>#NAME?</v>
      </c>
      <c r="AA16" t="e">
        <f t="shared" si="1112"/>
        <v>#NAME?</v>
      </c>
      <c r="AB16" t="e">
        <f t="shared" si="1127"/>
        <v>#NAME?</v>
      </c>
      <c r="AC16" t="e">
        <f t="shared" si="1128"/>
        <v>#NAME?</v>
      </c>
      <c r="AE16">
        <f t="shared" si="1133"/>
        <v>11</v>
      </c>
      <c r="AF16">
        <f t="shared" si="1122"/>
        <v>0.32031075448298602</v>
      </c>
    </row>
    <row r="17">
      <c r="A17">
        <f t="shared" si="1129"/>
        <v>11</v>
      </c>
      <c r="B17">
        <v>-0.37229539413802176</v>
      </c>
      <c r="C17">
        <f t="shared" si="1130"/>
        <v>0.32031075448298602</v>
      </c>
      <c r="E17">
        <f t="shared" si="1131"/>
        <v>12</v>
      </c>
      <c r="F17">
        <f t="shared" si="1121"/>
        <v>0.31201511646204799</v>
      </c>
      <c r="G17" t="e">
        <f t="shared" si="1132"/>
        <v>#NAME?</v>
      </c>
      <c r="J17" t="s">
        <v>504</v>
      </c>
      <c r="K17" s="10">
        <f>AVERAGE(F7:F110)</f>
        <v>7.7031946982473995e-02</v>
      </c>
      <c r="M17">
        <f t="shared" ref="M17:M20" si="1134">M16+1</f>
        <v>1</v>
      </c>
      <c r="N17" t="e">
        <v>#NAME?</v>
      </c>
      <c r="Q17" t="e">
        <v>#NAME?</v>
      </c>
      <c r="R17" s="10" t="e">
        <v>#NAME?</v>
      </c>
      <c r="W17">
        <f t="shared" si="1123"/>
        <v>12</v>
      </c>
      <c r="X17">
        <f t="shared" si="1124"/>
        <v>0.31201511646204799</v>
      </c>
      <c r="Y17" t="e">
        <f t="shared" si="1125"/>
        <v>#NAME?</v>
      </c>
      <c r="Z17" t="e">
        <f t="shared" si="1126"/>
        <v>#NAME?</v>
      </c>
      <c r="AA17" t="e">
        <f t="shared" si="1112"/>
        <v>#NAME?</v>
      </c>
      <c r="AB17" t="e">
        <f t="shared" si="1127"/>
        <v>#NAME?</v>
      </c>
      <c r="AC17" t="e">
        <f t="shared" si="1128"/>
        <v>#NAME?</v>
      </c>
      <c r="AE17">
        <f t="shared" si="1133"/>
        <v>12</v>
      </c>
      <c r="AF17">
        <f t="shared" si="1122"/>
        <v>0.31201511646204799</v>
      </c>
    </row>
    <row r="18">
      <c r="A18">
        <f t="shared" si="1129"/>
        <v>12</v>
      </c>
      <c r="B18">
        <v>1.3338509496353779e-02</v>
      </c>
      <c r="C18">
        <f t="shared" si="1130"/>
        <v>0.31201511646204799</v>
      </c>
      <c r="E18">
        <f t="shared" si="1131"/>
        <v>13</v>
      </c>
      <c r="F18">
        <f t="shared" si="1121"/>
        <v>0.91819881129981196</v>
      </c>
      <c r="G18" t="e">
        <f t="shared" si="1132"/>
        <v>#NAME?</v>
      </c>
      <c r="J18" t="s">
        <v>505</v>
      </c>
      <c r="K18" s="10">
        <f>STDEV(F7:F110)</f>
        <v>1.10326416377174</v>
      </c>
      <c r="M18">
        <f t="shared" si="1134"/>
        <v>2</v>
      </c>
      <c r="N18" t="e">
        <v>#NAME?</v>
      </c>
      <c r="Q18" t="e">
        <v>#NAME?</v>
      </c>
      <c r="R18" s="10" t="e">
        <v>#NAME?</v>
      </c>
      <c r="W18">
        <f t="shared" si="1123"/>
        <v>13</v>
      </c>
      <c r="X18">
        <f t="shared" si="1124"/>
        <v>0.91819881129981196</v>
      </c>
      <c r="Y18" t="e">
        <f t="shared" si="1125"/>
        <v>#NAME?</v>
      </c>
      <c r="Z18" t="e">
        <f t="shared" si="1126"/>
        <v>#NAME?</v>
      </c>
      <c r="AA18" t="e">
        <f t="shared" si="1112"/>
        <v>#NAME?</v>
      </c>
      <c r="AB18" t="e">
        <f t="shared" si="1127"/>
        <v>#NAME?</v>
      </c>
      <c r="AC18" t="e">
        <f t="shared" si="1128"/>
        <v>#NAME?</v>
      </c>
      <c r="AE18">
        <f t="shared" si="1133"/>
        <v>13</v>
      </c>
      <c r="AF18">
        <f t="shared" si="1122"/>
        <v>0.91819881129981196</v>
      </c>
    </row>
    <row r="19">
      <c r="A19">
        <f t="shared" si="1129"/>
        <v>13</v>
      </c>
      <c r="B19">
        <v>0.70245593167564913</v>
      </c>
      <c r="C19">
        <f t="shared" si="1130"/>
        <v>0.91819881129981196</v>
      </c>
      <c r="E19">
        <f t="shared" si="1131"/>
        <v>14</v>
      </c>
      <c r="F19">
        <f t="shared" si="1121"/>
        <v>0.15188555685885499</v>
      </c>
      <c r="G19" t="e">
        <f t="shared" si="1132"/>
        <v>#NAME?</v>
      </c>
      <c r="J19" t="s">
        <v>506</v>
      </c>
      <c r="K19" s="13">
        <f>COUNT(F7:F110)</f>
        <v>104</v>
      </c>
      <c r="M19">
        <f t="shared" si="1134"/>
        <v>3</v>
      </c>
      <c r="N19" t="e">
        <v>#NAME?</v>
      </c>
      <c r="Q19" t="e">
        <v>#NAME?</v>
      </c>
      <c r="R19" s="10" t="e">
        <v>#NAME?</v>
      </c>
      <c r="W19">
        <f t="shared" si="1123"/>
        <v>14</v>
      </c>
      <c r="X19">
        <f t="shared" si="1124"/>
        <v>0.15188555685885499</v>
      </c>
      <c r="Y19" t="e">
        <f t="shared" si="1125"/>
        <v>#NAME?</v>
      </c>
      <c r="Z19" t="e">
        <f t="shared" si="1126"/>
        <v>#NAME?</v>
      </c>
      <c r="AA19" t="e">
        <f t="shared" si="1112"/>
        <v>#NAME?</v>
      </c>
      <c r="AB19" t="e">
        <f t="shared" si="1127"/>
        <v>#NAME?</v>
      </c>
      <c r="AC19" t="e">
        <f t="shared" si="1128"/>
        <v>#NAME?</v>
      </c>
      <c r="AE19">
        <f t="shared" si="1133"/>
        <v>14</v>
      </c>
      <c r="AF19">
        <f t="shared" si="1122"/>
        <v>0.15188555685885499</v>
      </c>
    </row>
    <row r="20">
      <c r="A20">
        <f t="shared" si="1129"/>
        <v>14</v>
      </c>
      <c r="B20">
        <v>-0.35036242471588258</v>
      </c>
      <c r="C20">
        <f t="shared" si="1130"/>
        <v>0.15188555685885499</v>
      </c>
      <c r="E20">
        <f t="shared" si="1131"/>
        <v>15</v>
      </c>
      <c r="F20">
        <f t="shared" si="1121"/>
        <v>0.39352967065490801</v>
      </c>
      <c r="G20" t="e">
        <f t="shared" si="1132"/>
        <v>#NAME?</v>
      </c>
      <c r="M20" s="14">
        <f t="shared" si="1134"/>
        <v>4</v>
      </c>
      <c r="N20" s="14" t="e">
        <v>#NAME?</v>
      </c>
      <c r="Q20" t="e">
        <v>#NAME?</v>
      </c>
      <c r="R20" s="10" t="e">
        <v>#NAME?</v>
      </c>
      <c r="W20">
        <f t="shared" si="1123"/>
        <v>15</v>
      </c>
      <c r="X20">
        <f t="shared" si="1124"/>
        <v>0.39352967065490801</v>
      </c>
      <c r="Y20" t="e">
        <f t="shared" si="1125"/>
        <v>#NAME?</v>
      </c>
      <c r="Z20" t="e">
        <f t="shared" si="1126"/>
        <v>#NAME?</v>
      </c>
      <c r="AA20" t="e">
        <f t="shared" si="1112"/>
        <v>#NAME?</v>
      </c>
      <c r="AB20" t="e">
        <f t="shared" si="1127"/>
        <v>#NAME?</v>
      </c>
      <c r="AC20" t="e">
        <f t="shared" si="1128"/>
        <v>#NAME?</v>
      </c>
      <c r="AE20">
        <f t="shared" si="1133"/>
        <v>15</v>
      </c>
      <c r="AF20">
        <f t="shared" si="1122"/>
        <v>0.39352967065490801</v>
      </c>
    </row>
    <row r="21">
      <c r="A21">
        <f t="shared" si="1129"/>
        <v>15</v>
      </c>
      <c r="B21">
        <v>0.21713729591053149</v>
      </c>
      <c r="C21">
        <f t="shared" si="1130"/>
        <v>0.39352967065490801</v>
      </c>
      <c r="E21">
        <f t="shared" si="1131"/>
        <v>16</v>
      </c>
      <c r="F21">
        <f t="shared" si="1121"/>
        <v>-0.27456413012780201</v>
      </c>
      <c r="G21" t="e">
        <f t="shared" si="1132"/>
        <v>#NAME?</v>
      </c>
      <c r="J21" t="s">
        <v>507</v>
      </c>
      <c r="K21" s="7" t="e">
        <f>-(K24-2*(K11+K12+1))/2</f>
        <v>#NAME?</v>
      </c>
      <c r="Q21" t="e">
        <v>#NAME?</v>
      </c>
      <c r="R21" s="13" t="e">
        <v>#NAME?</v>
      </c>
      <c r="W21">
        <f t="shared" si="1123"/>
        <v>16</v>
      </c>
      <c r="X21">
        <f t="shared" si="1124"/>
        <v>-0.27456413012780201</v>
      </c>
      <c r="Y21" t="e">
        <f t="shared" si="1125"/>
        <v>#NAME?</v>
      </c>
      <c r="Z21" t="e">
        <f t="shared" si="1126"/>
        <v>#NAME?</v>
      </c>
      <c r="AA21" t="e">
        <f t="shared" si="1112"/>
        <v>#NAME?</v>
      </c>
      <c r="AB21" t="e">
        <f t="shared" si="1127"/>
        <v>#NAME?</v>
      </c>
      <c r="AC21" t="e">
        <f t="shared" si="1128"/>
        <v>#NAME?</v>
      </c>
      <c r="AE21">
        <f t="shared" si="1133"/>
        <v>16</v>
      </c>
      <c r="AF21">
        <f t="shared" si="1122"/>
        <v>-0.27456413012780201</v>
      </c>
    </row>
    <row r="22">
      <c r="A22">
        <f t="shared" si="1129"/>
        <v>16</v>
      </c>
      <c r="B22">
        <v>-0.50660744040413153</v>
      </c>
      <c r="C22">
        <f t="shared" si="1130"/>
        <v>-0.27456413012780201</v>
      </c>
      <c r="E22">
        <f t="shared" si="1131"/>
        <v>17</v>
      </c>
      <c r="F22">
        <f t="shared" si="1121"/>
        <v>1.2288378220245999</v>
      </c>
      <c r="G22" t="e">
        <f t="shared" si="1132"/>
        <v>#NAME?</v>
      </c>
      <c r="J22" t="s">
        <v>374</v>
      </c>
      <c r="K22" s="10" t="e">
        <f>K19*LN(K9/K19)+2*(K11+K12+1)</f>
        <v>#NAME?</v>
      </c>
      <c r="W22">
        <f t="shared" si="1123"/>
        <v>17</v>
      </c>
      <c r="X22">
        <f t="shared" si="1124"/>
        <v>1.2288378220245999</v>
      </c>
      <c r="Y22" t="e">
        <f t="shared" si="1125"/>
        <v>#NAME?</v>
      </c>
      <c r="Z22" t="e">
        <f t="shared" si="1126"/>
        <v>#NAME?</v>
      </c>
      <c r="AA22" t="e">
        <f t="shared" si="1112"/>
        <v>#NAME?</v>
      </c>
      <c r="AB22" t="e">
        <f t="shared" si="1127"/>
        <v>#NAME?</v>
      </c>
      <c r="AC22" t="e">
        <f t="shared" si="1128"/>
        <v>#NAME?</v>
      </c>
      <c r="AE22">
        <f t="shared" si="1133"/>
        <v>17</v>
      </c>
      <c r="AF22">
        <f t="shared" si="1122"/>
        <v>1.2288378220245999</v>
      </c>
    </row>
    <row r="23">
      <c r="A23">
        <f t="shared" si="1129"/>
        <v>17</v>
      </c>
      <c r="B23">
        <v>1.3197112250332259</v>
      </c>
      <c r="C23">
        <f t="shared" si="1130"/>
        <v>1.2288378220245999</v>
      </c>
      <c r="E23">
        <f t="shared" si="1131"/>
        <v>18</v>
      </c>
      <c r="F23">
        <f t="shared" si="1121"/>
        <v>2.6684005524939498</v>
      </c>
      <c r="G23" t="e">
        <f t="shared" si="1132"/>
        <v>#NAME?</v>
      </c>
      <c r="J23" t="s">
        <v>508</v>
      </c>
      <c r="K23" s="10" t="e">
        <f>K19*LN(K9/K19)+LN(K19)*(K11+K12+1)</f>
        <v>#NAME?</v>
      </c>
      <c r="W23">
        <f t="shared" si="1123"/>
        <v>18</v>
      </c>
      <c r="X23">
        <f t="shared" si="1124"/>
        <v>2.6684005524939498</v>
      </c>
      <c r="Y23" t="e">
        <f t="shared" si="1125"/>
        <v>#NAME?</v>
      </c>
      <c r="Z23" t="e">
        <f t="shared" si="1126"/>
        <v>#NAME?</v>
      </c>
      <c r="AA23" t="e">
        <f t="shared" si="1112"/>
        <v>#NAME?</v>
      </c>
      <c r="AB23" t="e">
        <f t="shared" si="1127"/>
        <v>#NAME?</v>
      </c>
      <c r="AC23" t="e">
        <f t="shared" si="1128"/>
        <v>#NAME?</v>
      </c>
      <c r="AE23">
        <f t="shared" si="1133"/>
        <v>18</v>
      </c>
      <c r="AF23">
        <f t="shared" si="1122"/>
        <v>2.6684005524939498</v>
      </c>
    </row>
    <row r="24">
      <c r="A24">
        <f t="shared" si="1129"/>
        <v>18</v>
      </c>
      <c r="B24">
        <v>2.0721563220833827</v>
      </c>
      <c r="C24">
        <f t="shared" si="1130"/>
        <v>2.6684005524939498</v>
      </c>
      <c r="E24">
        <f t="shared" si="1131"/>
        <v>19</v>
      </c>
      <c r="F24">
        <f t="shared" si="1121"/>
        <v>3.4177280638207601</v>
      </c>
      <c r="G24" t="e">
        <f t="shared" si="1132"/>
        <v>#NAME?</v>
      </c>
      <c r="J24" t="s">
        <v>509</v>
      </c>
      <c r="K24" s="10" t="e">
        <f>K19*(1+LN(2*PI()))+K22</f>
        <v>#NAME?</v>
      </c>
      <c r="W24">
        <f t="shared" si="1123"/>
        <v>19</v>
      </c>
      <c r="X24">
        <f t="shared" si="1124"/>
        <v>3.4177280638207601</v>
      </c>
      <c r="Y24" t="e">
        <f t="shared" si="1125"/>
        <v>#NAME?</v>
      </c>
      <c r="Z24" t="e">
        <f t="shared" si="1126"/>
        <v>#NAME?</v>
      </c>
      <c r="AA24" t="e">
        <f t="shared" si="1112"/>
        <v>#NAME?</v>
      </c>
      <c r="AB24" t="e">
        <f t="shared" si="1127"/>
        <v>#NAME?</v>
      </c>
      <c r="AC24" t="e">
        <f t="shared" si="1128"/>
        <v>#NAME?</v>
      </c>
      <c r="AE24">
        <f t="shared" si="1133"/>
        <v>19</v>
      </c>
      <c r="AF24">
        <f t="shared" si="1122"/>
        <v>3.4177280638207601</v>
      </c>
    </row>
    <row r="25">
      <c r="A25">
        <f t="shared" si="1129"/>
        <v>19</v>
      </c>
      <c r="B25">
        <v>1.9642789414916848</v>
      </c>
      <c r="C25">
        <f t="shared" si="1130"/>
        <v>3.4177280638207601</v>
      </c>
      <c r="E25">
        <f t="shared" si="1131"/>
        <v>20</v>
      </c>
      <c r="F25">
        <f t="shared" si="1121"/>
        <v>2.2391971568137299</v>
      </c>
      <c r="G25" t="e">
        <f t="shared" si="1132"/>
        <v>#NAME?</v>
      </c>
      <c r="J25" t="s">
        <v>510</v>
      </c>
      <c r="K25" s="13" t="e">
        <f>K19*(1+LN(2*PI()))+K23</f>
        <v>#NAME?</v>
      </c>
      <c r="W25">
        <f t="shared" si="1123"/>
        <v>20</v>
      </c>
      <c r="X25">
        <f t="shared" si="1124"/>
        <v>2.2391971568137299</v>
      </c>
      <c r="Y25" t="e">
        <f t="shared" si="1125"/>
        <v>#NAME?</v>
      </c>
      <c r="Z25" t="e">
        <f t="shared" si="1126"/>
        <v>#NAME?</v>
      </c>
      <c r="AA25" t="e">
        <f t="shared" si="1112"/>
        <v>#NAME?</v>
      </c>
      <c r="AB25" t="e">
        <f t="shared" si="1127"/>
        <v>#NAME?</v>
      </c>
      <c r="AC25" t="e">
        <f t="shared" si="1128"/>
        <v>#NAME?</v>
      </c>
      <c r="AE25">
        <f t="shared" si="1133"/>
        <v>20</v>
      </c>
      <c r="AF25">
        <f t="shared" si="1122"/>
        <v>2.2391971568137299</v>
      </c>
    </row>
    <row r="26">
      <c r="A26">
        <f t="shared" si="1129"/>
        <v>20</v>
      </c>
      <c r="B26">
        <v>0.23964330043753548</v>
      </c>
      <c r="C26">
        <f t="shared" si="1130"/>
        <v>2.2391971568137299</v>
      </c>
      <c r="E26">
        <f t="shared" si="1131"/>
        <v>21</v>
      </c>
      <c r="F26">
        <f t="shared" si="1121"/>
        <v>2.12255991460006</v>
      </c>
      <c r="G26" t="e">
        <f t="shared" si="1132"/>
        <v>#NAME?</v>
      </c>
      <c r="W26">
        <f t="shared" si="1123"/>
        <v>21</v>
      </c>
      <c r="X26">
        <f t="shared" si="1124"/>
        <v>2.12255991460006</v>
      </c>
      <c r="Y26" t="e">
        <f t="shared" si="1125"/>
        <v>#NAME?</v>
      </c>
      <c r="Z26" t="e">
        <f t="shared" si="1126"/>
        <v>#NAME?</v>
      </c>
      <c r="AA26" t="e">
        <f t="shared" si="1112"/>
        <v>#NAME?</v>
      </c>
      <c r="AB26" t="e">
        <f t="shared" si="1127"/>
        <v>#NAME?</v>
      </c>
      <c r="AC26" t="e">
        <f t="shared" si="1128"/>
        <v>#NAME?</v>
      </c>
      <c r="AE26">
        <f t="shared" si="1133"/>
        <v>21</v>
      </c>
      <c r="AF26">
        <f t="shared" si="1122"/>
        <v>2.12255991460006</v>
      </c>
    </row>
    <row r="27">
      <c r="A27">
        <f t="shared" si="1129"/>
        <v>21</v>
      </c>
      <c r="B27">
        <v>0.60305056491796249</v>
      </c>
      <c r="C27">
        <f t="shared" si="1130"/>
        <v>2.12255991460006</v>
      </c>
      <c r="E27">
        <f t="shared" si="1131"/>
        <v>22</v>
      </c>
      <c r="F27">
        <f t="shared" si="1121"/>
        <v>0.46379871540948397</v>
      </c>
      <c r="G27" t="e">
        <f t="shared" si="1132"/>
        <v>#NAME?</v>
      </c>
      <c r="W27">
        <f t="shared" si="1123"/>
        <v>22</v>
      </c>
      <c r="X27">
        <f t="shared" si="1124"/>
        <v>0.46379871540948397</v>
      </c>
      <c r="Y27" t="e">
        <f t="shared" si="1125"/>
        <v>#NAME?</v>
      </c>
      <c r="Z27" t="e">
        <f t="shared" si="1126"/>
        <v>#NAME?</v>
      </c>
      <c r="AA27" t="e">
        <f t="shared" si="1112"/>
        <v>#NAME?</v>
      </c>
      <c r="AB27" t="e">
        <f t="shared" si="1127"/>
        <v>#NAME?</v>
      </c>
      <c r="AC27" t="e">
        <f t="shared" si="1128"/>
        <v>#NAME?</v>
      </c>
      <c r="AE27">
        <f t="shared" si="1133"/>
        <v>22</v>
      </c>
      <c r="AF27">
        <f t="shared" si="1122"/>
        <v>0.46379871540948397</v>
      </c>
    </row>
    <row r="28">
      <c r="A28">
        <f t="shared" si="1129"/>
        <v>22</v>
      </c>
      <c r="B28">
        <v>-0.90138311182696318</v>
      </c>
      <c r="C28">
        <f t="shared" si="1130"/>
        <v>0.46379871540948397</v>
      </c>
      <c r="E28">
        <f t="shared" si="1131"/>
        <v>23</v>
      </c>
      <c r="F28">
        <f t="shared" si="1121"/>
        <v>-0.55080545418476801</v>
      </c>
      <c r="G28" t="e">
        <f t="shared" si="1132"/>
        <v>#NAME?</v>
      </c>
      <c r="W28">
        <f t="shared" si="1123"/>
        <v>23</v>
      </c>
      <c r="X28">
        <f t="shared" si="1124"/>
        <v>-0.55080545418476801</v>
      </c>
      <c r="Y28" t="e">
        <f t="shared" si="1125"/>
        <v>#NAME?</v>
      </c>
      <c r="Z28" t="e">
        <f t="shared" si="1126"/>
        <v>#NAME?</v>
      </c>
      <c r="AA28" t="e">
        <f t="shared" si="1112"/>
        <v>#NAME?</v>
      </c>
      <c r="AB28" t="e">
        <f t="shared" si="1127"/>
        <v>#NAME?</v>
      </c>
      <c r="AC28" t="e">
        <f t="shared" si="1128"/>
        <v>#NAME?</v>
      </c>
      <c r="AE28">
        <f t="shared" si="1133"/>
        <v>23</v>
      </c>
      <c r="AF28">
        <f t="shared" si="1122"/>
        <v>-0.55080545418476801</v>
      </c>
    </row>
    <row r="29">
      <c r="A29">
        <f t="shared" si="1129"/>
        <v>23</v>
      </c>
      <c r="B29">
        <v>-1.0557411773368033</v>
      </c>
      <c r="C29">
        <f t="shared" si="1130"/>
        <v>-0.55080545418476801</v>
      </c>
      <c r="E29">
        <f t="shared" si="1131"/>
        <v>24</v>
      </c>
      <c r="F29">
        <f t="shared" si="1121"/>
        <v>1.18294624710812</v>
      </c>
      <c r="G29" t="e">
        <f t="shared" si="1132"/>
        <v>#NAME?</v>
      </c>
      <c r="W29">
        <f t="shared" si="1123"/>
        <v>24</v>
      </c>
      <c r="X29">
        <f t="shared" si="1124"/>
        <v>1.18294624710812</v>
      </c>
      <c r="Y29" t="e">
        <f t="shared" si="1125"/>
        <v>#NAME?</v>
      </c>
      <c r="Z29" t="e">
        <f t="shared" si="1126"/>
        <v>#NAME?</v>
      </c>
      <c r="AA29" t="e">
        <f t="shared" si="1112"/>
        <v>#NAME?</v>
      </c>
      <c r="AB29" t="e">
        <f t="shared" si="1127"/>
        <v>#NAME?</v>
      </c>
      <c r="AC29" t="e">
        <f t="shared" si="1128"/>
        <v>#NAME?</v>
      </c>
      <c r="AE29">
        <f t="shared" si="1133"/>
        <v>24</v>
      </c>
      <c r="AF29">
        <f t="shared" si="1122"/>
        <v>1.18294624710812</v>
      </c>
    </row>
    <row r="30">
      <c r="A30">
        <f t="shared" si="1129"/>
        <v>24</v>
      </c>
      <c r="B30">
        <v>1.3573618295701022</v>
      </c>
      <c r="C30">
        <f t="shared" si="1130"/>
        <v>1.18294624710812</v>
      </c>
      <c r="E30">
        <f t="shared" si="1131"/>
        <v>25</v>
      </c>
      <c r="F30">
        <f t="shared" si="1121"/>
        <v>-2.4132987150346699</v>
      </c>
      <c r="G30" t="e">
        <f t="shared" si="1132"/>
        <v>#NAME?</v>
      </c>
      <c r="W30">
        <f t="shared" si="1123"/>
        <v>25</v>
      </c>
      <c r="X30">
        <f t="shared" si="1124"/>
        <v>-2.4132987150346699</v>
      </c>
      <c r="Y30" t="e">
        <f t="shared" si="1125"/>
        <v>#NAME?</v>
      </c>
      <c r="Z30" t="e">
        <f t="shared" si="1126"/>
        <v>#NAME?</v>
      </c>
      <c r="AA30" t="e">
        <f t="shared" si="1112"/>
        <v>#NAME?</v>
      </c>
      <c r="AB30" t="e">
        <f t="shared" si="1127"/>
        <v>#NAME?</v>
      </c>
      <c r="AC30" t="e">
        <f t="shared" si="1128"/>
        <v>#NAME?</v>
      </c>
      <c r="AE30">
        <f t="shared" si="1133"/>
        <v>25</v>
      </c>
      <c r="AF30">
        <f t="shared" si="1122"/>
        <v>-2.4132987150346699</v>
      </c>
    </row>
    <row r="31">
      <c r="A31">
        <f t="shared" si="1129"/>
        <v>25</v>
      </c>
      <c r="B31">
        <v>-2.969888722096329</v>
      </c>
      <c r="C31">
        <f t="shared" si="1130"/>
        <v>-2.4132987150346699</v>
      </c>
      <c r="E31">
        <f t="shared" si="1131"/>
        <v>26</v>
      </c>
      <c r="F31">
        <f t="shared" si="1121"/>
        <v>0.97947060944542597</v>
      </c>
      <c r="G31" t="e">
        <f t="shared" si="1132"/>
        <v>#NAME?</v>
      </c>
      <c r="W31">
        <f t="shared" si="1123"/>
        <v>26</v>
      </c>
      <c r="X31">
        <f t="shared" si="1124"/>
        <v>0.97947060944542597</v>
      </c>
      <c r="Y31" t="e">
        <f t="shared" si="1125"/>
        <v>#NAME?</v>
      </c>
      <c r="Z31" t="e">
        <f t="shared" si="1126"/>
        <v>#NAME?</v>
      </c>
      <c r="AA31" t="e">
        <f t="shared" si="1112"/>
        <v>#NAME?</v>
      </c>
      <c r="AB31" t="e">
        <f t="shared" si="1127"/>
        <v>#NAME?</v>
      </c>
      <c r="AC31" t="e">
        <f t="shared" si="1128"/>
        <v>#NAME?</v>
      </c>
      <c r="AE31">
        <f t="shared" si="1133"/>
        <v>26</v>
      </c>
      <c r="AF31">
        <f t="shared" si="1122"/>
        <v>0.97947060944542597</v>
      </c>
    </row>
    <row r="32">
      <c r="A32">
        <f t="shared" si="1129"/>
        <v>26</v>
      </c>
      <c r="B32">
        <v>2.0748019655504284</v>
      </c>
      <c r="C32">
        <f t="shared" si="1130"/>
        <v>0.97947060944542597</v>
      </c>
      <c r="E32">
        <f t="shared" si="1131"/>
        <v>27</v>
      </c>
      <c r="F32">
        <f t="shared" si="1121"/>
        <v>0.550882332249366</v>
      </c>
      <c r="G32" t="e">
        <f t="shared" si="1132"/>
        <v>#NAME?</v>
      </c>
      <c r="W32">
        <f t="shared" si="1123"/>
        <v>27</v>
      </c>
      <c r="X32">
        <f t="shared" si="1124"/>
        <v>0.550882332249366</v>
      </c>
      <c r="Y32" t="e">
        <f t="shared" si="1125"/>
        <v>#NAME?</v>
      </c>
      <c r="Z32" t="e">
        <f t="shared" si="1126"/>
        <v>#NAME?</v>
      </c>
      <c r="AA32" t="e">
        <f t="shared" si="1112"/>
        <v>#NAME?</v>
      </c>
      <c r="AB32" t="e">
        <f t="shared" si="1127"/>
        <v>#NAME?</v>
      </c>
      <c r="AC32" t="e">
        <f t="shared" si="1128"/>
        <v>#NAME?</v>
      </c>
      <c r="AE32">
        <f t="shared" si="1133"/>
        <v>27</v>
      </c>
      <c r="AF32">
        <f t="shared" si="1122"/>
        <v>0.550882332249366</v>
      </c>
    </row>
    <row r="33">
      <c r="A33">
        <f t="shared" si="1129"/>
        <v>27</v>
      </c>
      <c r="B33">
        <v>0.28021329874765349</v>
      </c>
      <c r="C33">
        <f t="shared" si="1130"/>
        <v>0.550882332249366</v>
      </c>
      <c r="E33">
        <f t="shared" si="1131"/>
        <v>28</v>
      </c>
      <c r="F33">
        <f t="shared" si="1121"/>
        <v>1.2279214175815401</v>
      </c>
      <c r="G33" t="e">
        <f t="shared" si="1132"/>
        <v>#NAME?</v>
      </c>
      <c r="W33">
        <f t="shared" si="1123"/>
        <v>28</v>
      </c>
      <c r="X33">
        <f t="shared" si="1124"/>
        <v>1.2279214175815401</v>
      </c>
      <c r="Y33" t="e">
        <f t="shared" si="1125"/>
        <v>#NAME?</v>
      </c>
      <c r="Z33" t="e">
        <f t="shared" si="1126"/>
        <v>#NAME?</v>
      </c>
      <c r="AA33" t="e">
        <f t="shared" si="1112"/>
        <v>#NAME?</v>
      </c>
      <c r="AB33" t="e">
        <f t="shared" si="1127"/>
        <v>#NAME?</v>
      </c>
      <c r="AC33" t="e">
        <f t="shared" si="1128"/>
        <v>#NAME?</v>
      </c>
      <c r="AE33">
        <f t="shared" si="1133"/>
        <v>28</v>
      </c>
      <c r="AF33">
        <f t="shared" si="1122"/>
        <v>1.2279214175815401</v>
      </c>
    </row>
    <row r="34">
      <c r="A34">
        <f t="shared" si="1129"/>
        <v>28</v>
      </c>
      <c r="B34">
        <v>0.89834644475651204</v>
      </c>
      <c r="C34">
        <f t="shared" si="1130"/>
        <v>1.2279214175815401</v>
      </c>
      <c r="E34">
        <f t="shared" si="1131"/>
        <v>29</v>
      </c>
      <c r="F34">
        <f t="shared" si="1121"/>
        <v>-0.92350668389273394</v>
      </c>
      <c r="G34" t="e">
        <f t="shared" si="1132"/>
        <v>#NAME?</v>
      </c>
      <c r="W34">
        <f t="shared" si="1123"/>
        <v>29</v>
      </c>
      <c r="X34">
        <f t="shared" si="1124"/>
        <v>-0.92350668389273394</v>
      </c>
      <c r="Y34" t="e">
        <f t="shared" si="1125"/>
        <v>#NAME?</v>
      </c>
      <c r="Z34" t="e">
        <f t="shared" si="1126"/>
        <v>#NAME?</v>
      </c>
      <c r="AA34" t="e">
        <f t="shared" si="1112"/>
        <v>#NAME?</v>
      </c>
      <c r="AB34" t="e">
        <f t="shared" si="1127"/>
        <v>#NAME?</v>
      </c>
      <c r="AC34" t="e">
        <f t="shared" si="1128"/>
        <v>#NAME?</v>
      </c>
      <c r="AE34">
        <f t="shared" si="1133"/>
        <v>29</v>
      </c>
      <c r="AF34">
        <f t="shared" si="1122"/>
        <v>-0.92350668389273394</v>
      </c>
    </row>
    <row r="35">
      <c r="A35">
        <f t="shared" si="1129"/>
        <v>29</v>
      </c>
      <c r="B35">
        <v>-1.603382387248506</v>
      </c>
      <c r="C35">
        <f t="shared" si="1130"/>
        <v>-0.92350668389273394</v>
      </c>
      <c r="E35">
        <f t="shared" si="1131"/>
        <v>30</v>
      </c>
      <c r="F35">
        <f t="shared" si="1121"/>
        <v>-9.0278955688556997e-02</v>
      </c>
      <c r="G35" t="e">
        <f t="shared" si="1132"/>
        <v>#NAME?</v>
      </c>
      <c r="W35">
        <f t="shared" si="1123"/>
        <v>30</v>
      </c>
      <c r="X35">
        <f t="shared" si="1124"/>
        <v>-9.0278955688556997e-02</v>
      </c>
      <c r="Y35" t="e">
        <f t="shared" si="1125"/>
        <v>#NAME?</v>
      </c>
      <c r="Z35" t="e">
        <f t="shared" si="1126"/>
        <v>#NAME?</v>
      </c>
      <c r="AA35" t="e">
        <f t="shared" si="1112"/>
        <v>#NAME?</v>
      </c>
      <c r="AB35" t="e">
        <f t="shared" si="1127"/>
        <v>#NAME?</v>
      </c>
      <c r="AC35" t="e">
        <f t="shared" si="1128"/>
        <v>#NAME?</v>
      </c>
      <c r="AE35">
        <f t="shared" si="1133"/>
        <v>30</v>
      </c>
      <c r="AF35">
        <f t="shared" si="1122"/>
        <v>-9.0278955688556997e-02</v>
      </c>
    </row>
    <row r="36">
      <c r="A36">
        <f t="shared" si="1129"/>
        <v>30</v>
      </c>
      <c r="B36">
        <v>0.23549924558665486</v>
      </c>
      <c r="C36">
        <f t="shared" si="1130"/>
        <v>-9.0278955688556997e-02</v>
      </c>
      <c r="E36">
        <f t="shared" si="1131"/>
        <v>31</v>
      </c>
      <c r="F36">
        <f t="shared" si="1121"/>
        <v>1.68379334636317</v>
      </c>
      <c r="G36" t="e">
        <f t="shared" si="1132"/>
        <v>#NAME?</v>
      </c>
      <c r="W36">
        <f t="shared" si="1123"/>
        <v>31</v>
      </c>
      <c r="X36">
        <f t="shared" si="1124"/>
        <v>1.68379334636317</v>
      </c>
      <c r="Y36" t="e">
        <f t="shared" si="1125"/>
        <v>#NAME?</v>
      </c>
      <c r="Z36" t="e">
        <f t="shared" si="1126"/>
        <v>#NAME?</v>
      </c>
      <c r="AA36" t="e">
        <f t="shared" si="1112"/>
        <v>#NAME?</v>
      </c>
      <c r="AB36" t="e">
        <f t="shared" si="1127"/>
        <v>#NAME?</v>
      </c>
      <c r="AC36" t="e">
        <f t="shared" si="1128"/>
        <v>#NAME?</v>
      </c>
      <c r="AE36">
        <f t="shared" si="1133"/>
        <v>31</v>
      </c>
      <c r="AF36">
        <f t="shared" si="1122"/>
        <v>1.68379334636317</v>
      </c>
    </row>
    <row r="37">
      <c r="A37">
        <f t="shared" si="1129"/>
        <v>31</v>
      </c>
      <c r="B37">
        <v>1.7940884644624944</v>
      </c>
      <c r="C37">
        <f t="shared" si="1130"/>
        <v>1.68379334636317</v>
      </c>
      <c r="E37">
        <f t="shared" si="1131"/>
        <v>32</v>
      </c>
      <c r="F37">
        <f t="shared" si="1121"/>
        <v>-0.61077144818691798</v>
      </c>
      <c r="G37" t="e">
        <f t="shared" si="1132"/>
        <v>#NAME?</v>
      </c>
      <c r="W37">
        <f t="shared" si="1123"/>
        <v>32</v>
      </c>
      <c r="X37">
        <f t="shared" si="1124"/>
        <v>-0.61077144818691798</v>
      </c>
      <c r="Y37" t="e">
        <f t="shared" si="1125"/>
        <v>#NAME?</v>
      </c>
      <c r="Z37" t="e">
        <f t="shared" si="1126"/>
        <v>#NAME?</v>
      </c>
      <c r="AA37" t="e">
        <f t="shared" si="1112"/>
        <v>#NAME?</v>
      </c>
      <c r="AB37" t="e">
        <f t="shared" si="1127"/>
        <v>#NAME?</v>
      </c>
      <c r="AC37" t="e">
        <f t="shared" si="1128"/>
        <v>#NAME?</v>
      </c>
      <c r="AE37">
        <f t="shared" si="1133"/>
        <v>32</v>
      </c>
      <c r="AF37">
        <f t="shared" si="1122"/>
        <v>-0.61077144818691798</v>
      </c>
    </row>
    <row r="38">
      <c r="A38">
        <f t="shared" si="1129"/>
        <v>32</v>
      </c>
      <c r="B38">
        <v>-1.4306090977486423</v>
      </c>
      <c r="C38">
        <f t="shared" si="1130"/>
        <v>-0.61077144818691798</v>
      </c>
      <c r="E38">
        <f t="shared" si="1131"/>
        <v>33</v>
      </c>
      <c r="F38">
        <f t="shared" si="1121"/>
        <v>1.2810446629007599</v>
      </c>
      <c r="G38" t="e">
        <f t="shared" si="1132"/>
        <v>#NAME?</v>
      </c>
      <c r="W38">
        <f t="shared" si="1123"/>
        <v>33</v>
      </c>
      <c r="X38">
        <f t="shared" si="1124"/>
        <v>1.2810446629007599</v>
      </c>
      <c r="Y38" t="e">
        <f t="shared" si="1125"/>
        <v>#NAME?</v>
      </c>
      <c r="Z38" t="e">
        <f t="shared" si="1126"/>
        <v>#NAME?</v>
      </c>
      <c r="AA38" t="e">
        <f t="shared" si="1112"/>
        <v>#NAME?</v>
      </c>
      <c r="AB38" t="e">
        <f t="shared" si="1127"/>
        <v>#NAME?</v>
      </c>
      <c r="AC38" t="e">
        <f t="shared" si="1128"/>
        <v>#NAME?</v>
      </c>
      <c r="AE38">
        <f t="shared" si="1133"/>
        <v>33</v>
      </c>
      <c r="AF38">
        <f t="shared" si="1122"/>
        <v>1.2810446629007599</v>
      </c>
    </row>
    <row r="39">
      <c r="A39">
        <f t="shared" si="1129"/>
        <v>33</v>
      </c>
      <c r="B39">
        <v>1.4224628570818738</v>
      </c>
      <c r="C39">
        <f t="shared" si="1130"/>
        <v>1.2810446629007599</v>
      </c>
      <c r="E39">
        <f t="shared" si="1131"/>
        <v>34</v>
      </c>
      <c r="F39">
        <f t="shared" si="1121"/>
        <v>-0.92224582870659189</v>
      </c>
      <c r="G39" t="e">
        <f t="shared" si="1132"/>
        <v>#NAME?</v>
      </c>
      <c r="W39">
        <f t="shared" si="1123"/>
        <v>34</v>
      </c>
      <c r="X39">
        <f t="shared" si="1124"/>
        <v>-0.92224582870659189</v>
      </c>
      <c r="Y39" t="e">
        <f t="shared" si="1125"/>
        <v>#NAME?</v>
      </c>
      <c r="Z39" t="e">
        <f t="shared" si="1126"/>
        <v>#NAME?</v>
      </c>
      <c r="AA39" t="e">
        <f t="shared" si="1112"/>
        <v>#NAME?</v>
      </c>
      <c r="AB39" t="e">
        <f t="shared" si="1127"/>
        <v>#NAME?</v>
      </c>
      <c r="AC39" t="e">
        <f t="shared" si="1128"/>
        <v>#NAME?</v>
      </c>
      <c r="AE39">
        <f t="shared" si="1133"/>
        <v>34</v>
      </c>
      <c r="AF39">
        <f t="shared" si="1122"/>
        <v>-0.92224582870659189</v>
      </c>
    </row>
    <row r="40">
      <c r="A40">
        <f t="shared" si="1129"/>
        <v>34</v>
      </c>
      <c r="B40">
        <v>-1.5344845213207501</v>
      </c>
      <c r="C40">
        <f t="shared" si="1130"/>
        <v>-0.92224582870659189</v>
      </c>
      <c r="E40">
        <f t="shared" si="1131"/>
        <v>35</v>
      </c>
      <c r="F40">
        <f t="shared" si="1121"/>
        <v>-0.57811003842058095</v>
      </c>
      <c r="G40" t="e">
        <f t="shared" si="1132"/>
        <v>#NAME?</v>
      </c>
      <c r="W40">
        <f t="shared" si="1123"/>
        <v>35</v>
      </c>
      <c r="X40">
        <f t="shared" si="1124"/>
        <v>-0.57811003842058095</v>
      </c>
      <c r="Y40" t="e">
        <f t="shared" si="1125"/>
        <v>#NAME?</v>
      </c>
      <c r="Z40" t="e">
        <f t="shared" si="1126"/>
        <v>#NAME?</v>
      </c>
      <c r="AA40" t="e">
        <f t="shared" si="1112"/>
        <v>#NAME?</v>
      </c>
      <c r="AB40" t="e">
        <f t="shared" si="1127"/>
        <v>#NAME?</v>
      </c>
      <c r="AC40" t="e">
        <f t="shared" si="1128"/>
        <v>#NAME?</v>
      </c>
      <c r="AE40">
        <f t="shared" si="1133"/>
        <v>35</v>
      </c>
      <c r="AF40">
        <f t="shared" si="1122"/>
        <v>-0.57811003842058095</v>
      </c>
    </row>
    <row r="41">
      <c r="A41">
        <f t="shared" si="1129"/>
        <v>35</v>
      </c>
      <c r="B41">
        <v>-0.23943486259011687</v>
      </c>
      <c r="C41">
        <f t="shared" si="1130"/>
        <v>-0.57811003842058095</v>
      </c>
      <c r="E41">
        <f t="shared" si="1131"/>
        <v>36</v>
      </c>
      <c r="F41">
        <f t="shared" si="1121"/>
        <v>0.76869728403468596</v>
      </c>
      <c r="G41" t="e">
        <f t="shared" si="1132"/>
        <v>#NAME?</v>
      </c>
      <c r="W41">
        <f t="shared" si="1123"/>
        <v>36</v>
      </c>
      <c r="X41">
        <f t="shared" si="1124"/>
        <v>0.76869728403468596</v>
      </c>
      <c r="Y41" t="e">
        <f t="shared" si="1125"/>
        <v>#NAME?</v>
      </c>
      <c r="Z41" t="e">
        <f t="shared" si="1126"/>
        <v>#NAME?</v>
      </c>
      <c r="AA41" t="e">
        <f t="shared" si="1112"/>
        <v>#NAME?</v>
      </c>
      <c r="AB41" t="e">
        <f t="shared" si="1127"/>
        <v>#NAME?</v>
      </c>
      <c r="AC41" t="e">
        <f t="shared" si="1128"/>
        <v>#NAME?</v>
      </c>
      <c r="AE41">
        <f t="shared" si="1133"/>
        <v>36</v>
      </c>
      <c r="AF41">
        <f t="shared" si="1122"/>
        <v>0.76869728403468596</v>
      </c>
    </row>
    <row r="42">
      <c r="A42">
        <f t="shared" si="1129"/>
        <v>36</v>
      </c>
      <c r="B42">
        <v>1.1254873384110666</v>
      </c>
      <c r="C42">
        <f t="shared" si="1130"/>
        <v>0.76869728403468596</v>
      </c>
      <c r="E42">
        <f t="shared" si="1131"/>
        <v>37</v>
      </c>
      <c r="F42">
        <f t="shared" si="1121"/>
        <v>4.4704988336535002e-02</v>
      </c>
      <c r="G42" t="e">
        <f t="shared" si="1132"/>
        <v>#NAME?</v>
      </c>
      <c r="W42">
        <f t="shared" si="1123"/>
        <v>37</v>
      </c>
      <c r="X42">
        <f t="shared" si="1124"/>
        <v>4.4704988336535002e-02</v>
      </c>
      <c r="Y42" t="e">
        <f t="shared" si="1125"/>
        <v>#NAME?</v>
      </c>
      <c r="Z42" t="e">
        <f t="shared" si="1126"/>
        <v>#NAME?</v>
      </c>
      <c r="AA42" t="e">
        <f t="shared" si="1112"/>
        <v>#NAME?</v>
      </c>
      <c r="AB42" t="e">
        <f t="shared" si="1127"/>
        <v>#NAME?</v>
      </c>
      <c r="AC42" t="e">
        <f t="shared" si="1128"/>
        <v>#NAME?</v>
      </c>
      <c r="AE42">
        <f t="shared" si="1133"/>
        <v>37</v>
      </c>
      <c r="AF42">
        <f t="shared" si="1122"/>
        <v>4.4704988336535002e-02</v>
      </c>
    </row>
    <row r="43">
      <c r="A43">
        <f t="shared" si="1129"/>
        <v>37</v>
      </c>
      <c r="B43">
        <v>-0.26828564280553119</v>
      </c>
      <c r="C43">
        <f t="shared" si="1130"/>
        <v>4.4704988336535002e-02</v>
      </c>
      <c r="E43">
        <f t="shared" si="1131"/>
        <v>38</v>
      </c>
      <c r="F43">
        <f t="shared" si="1121"/>
        <v>-0.49733946564675902</v>
      </c>
      <c r="G43" t="e">
        <f t="shared" si="1132"/>
        <v>#NAME?</v>
      </c>
      <c r="W43">
        <f t="shared" si="1123"/>
        <v>38</v>
      </c>
      <c r="X43">
        <f t="shared" si="1124"/>
        <v>-0.49733946564675902</v>
      </c>
      <c r="Y43" t="e">
        <f t="shared" si="1125"/>
        <v>#NAME?</v>
      </c>
      <c r="Z43" t="e">
        <f t="shared" si="1126"/>
        <v>#NAME?</v>
      </c>
      <c r="AA43" t="e">
        <f t="shared" si="1112"/>
        <v>#NAME?</v>
      </c>
      <c r="AB43" t="e">
        <f t="shared" si="1127"/>
        <v>#NAME?</v>
      </c>
      <c r="AC43" t="e">
        <f t="shared" si="1128"/>
        <v>#NAME?</v>
      </c>
      <c r="AE43">
        <f t="shared" si="1133"/>
        <v>38</v>
      </c>
      <c r="AF43">
        <f t="shared" si="1122"/>
        <v>-0.49733946564675902</v>
      </c>
    </row>
    <row r="44">
      <c r="A44">
        <f t="shared" si="1129"/>
        <v>38</v>
      </c>
      <c r="B44">
        <v>-0.5822900860434399</v>
      </c>
      <c r="C44">
        <f t="shared" si="1130"/>
        <v>-0.49733946564675902</v>
      </c>
      <c r="E44">
        <f t="shared" si="1131"/>
        <v>39</v>
      </c>
      <c r="F44">
        <f t="shared" si="1121"/>
        <v>2.0166442406466998</v>
      </c>
      <c r="G44" t="e">
        <f t="shared" si="1132"/>
        <v>#NAME?</v>
      </c>
      <c r="W44">
        <f t="shared" si="1123"/>
        <v>39</v>
      </c>
      <c r="X44">
        <f t="shared" si="1124"/>
        <v>2.0166442406466998</v>
      </c>
      <c r="Y44" t="e">
        <f t="shared" si="1125"/>
        <v>#NAME?</v>
      </c>
      <c r="Z44" t="e">
        <f t="shared" si="1126"/>
        <v>#NAME?</v>
      </c>
      <c r="AA44" t="e">
        <f t="shared" si="1112"/>
        <v>#NAME?</v>
      </c>
      <c r="AB44" t="e">
        <f t="shared" si="1127"/>
        <v>#NAME?</v>
      </c>
      <c r="AC44" t="e">
        <f t="shared" si="1128"/>
        <v>#NAME?</v>
      </c>
      <c r="AE44">
        <f t="shared" si="1133"/>
        <v>39</v>
      </c>
      <c r="AF44">
        <f t="shared" si="1122"/>
        <v>2.0166442406466998</v>
      </c>
    </row>
    <row r="45">
      <c r="A45">
        <f t="shared" si="1129"/>
        <v>39</v>
      </c>
      <c r="B45">
        <v>2.2483238493907365</v>
      </c>
      <c r="C45">
        <f t="shared" si="1130"/>
        <v>2.0166442406466998</v>
      </c>
      <c r="E45">
        <f t="shared" si="1131"/>
        <v>40</v>
      </c>
      <c r="F45">
        <f t="shared" si="1121"/>
        <v>-0.39241120873067797</v>
      </c>
      <c r="G45" t="e">
        <f t="shared" si="1132"/>
        <v>#NAME?</v>
      </c>
      <c r="W45">
        <f t="shared" si="1123"/>
        <v>40</v>
      </c>
      <c r="X45">
        <f t="shared" si="1124"/>
        <v>-0.39241120873067797</v>
      </c>
      <c r="Y45" t="e">
        <f t="shared" si="1125"/>
        <v>#NAME?</v>
      </c>
      <c r="Z45" t="e">
        <f t="shared" si="1126"/>
        <v>#NAME?</v>
      </c>
      <c r="AA45" t="e">
        <f t="shared" si="1112"/>
        <v>#NAME?</v>
      </c>
      <c r="AB45" t="e">
        <f t="shared" si="1127"/>
        <v>#NAME?</v>
      </c>
      <c r="AC45" t="e">
        <f t="shared" si="1128"/>
        <v>#NAME?</v>
      </c>
      <c r="AE45">
        <f t="shared" si="1133"/>
        <v>40</v>
      </c>
      <c r="AF45">
        <f t="shared" si="1122"/>
        <v>-0.39241120873067797</v>
      </c>
    </row>
    <row r="46">
      <c r="A46">
        <f t="shared" si="1129"/>
        <v>40</v>
      </c>
      <c r="B46">
        <v>-1.3543974073052196</v>
      </c>
      <c r="C46">
        <f t="shared" si="1130"/>
        <v>-0.39241120873067797</v>
      </c>
      <c r="E46">
        <f t="shared" si="1131"/>
        <v>41</v>
      </c>
      <c r="F46">
        <f t="shared" si="1121"/>
        <v>0.47880316337405598</v>
      </c>
      <c r="G46" t="e">
        <f t="shared" si="1132"/>
        <v>#NAME?</v>
      </c>
      <c r="W46">
        <f t="shared" si="1123"/>
        <v>41</v>
      </c>
      <c r="X46">
        <f t="shared" si="1124"/>
        <v>0.47880316337405598</v>
      </c>
      <c r="Y46" t="e">
        <f t="shared" si="1125"/>
        <v>#NAME?</v>
      </c>
      <c r="Z46" t="e">
        <f t="shared" si="1126"/>
        <v>#NAME?</v>
      </c>
      <c r="AA46" t="e">
        <f t="shared" si="1112"/>
        <v>#NAME?</v>
      </c>
      <c r="AB46" t="e">
        <f t="shared" si="1127"/>
        <v>#NAME?</v>
      </c>
      <c r="AC46" t="e">
        <f t="shared" si="1128"/>
        <v>#NAME?</v>
      </c>
      <c r="AE46">
        <f t="shared" si="1133"/>
        <v>41</v>
      </c>
      <c r="AF46">
        <f t="shared" si="1122"/>
        <v>0.47880316337405598</v>
      </c>
    </row>
    <row r="47">
      <c r="A47">
        <f t="shared" si="1129"/>
        <v>41</v>
      </c>
      <c r="B47">
        <v>0.48261152802448642</v>
      </c>
      <c r="C47">
        <f t="shared" si="1130"/>
        <v>0.47880316337405598</v>
      </c>
      <c r="E47">
        <f t="shared" si="1131"/>
        <v>42</v>
      </c>
      <c r="F47">
        <f t="shared" si="1121"/>
        <v>0.13114911585296499</v>
      </c>
      <c r="G47" t="e">
        <f t="shared" si="1132"/>
        <v>#NAME?</v>
      </c>
      <c r="W47">
        <f t="shared" si="1123"/>
        <v>42</v>
      </c>
      <c r="X47">
        <f t="shared" si="1124"/>
        <v>0.13114911585296499</v>
      </c>
      <c r="Y47" t="e">
        <f t="shared" si="1125"/>
        <v>#NAME?</v>
      </c>
      <c r="Z47" t="e">
        <f t="shared" si="1126"/>
        <v>#NAME?</v>
      </c>
      <c r="AA47" t="e">
        <f t="shared" si="1112"/>
        <v>#NAME?</v>
      </c>
      <c r="AB47" t="e">
        <f t="shared" si="1127"/>
        <v>#NAME?</v>
      </c>
      <c r="AC47" t="e">
        <f t="shared" si="1128"/>
        <v>#NAME?</v>
      </c>
      <c r="AE47">
        <f t="shared" si="1133"/>
        <v>42</v>
      </c>
      <c r="AF47">
        <f t="shared" si="1122"/>
        <v>0.13114911585296499</v>
      </c>
    </row>
    <row r="48">
      <c r="A48">
        <f t="shared" si="1129"/>
        <v>42</v>
      </c>
      <c r="B48">
        <v>-0.10749079290397742</v>
      </c>
      <c r="C48">
        <f t="shared" si="1130"/>
        <v>0.13114911585296499</v>
      </c>
      <c r="E48">
        <f t="shared" si="1131"/>
        <v>43</v>
      </c>
      <c r="F48">
        <f t="shared" si="1121"/>
        <v>-0.68974482309167595</v>
      </c>
      <c r="G48" t="e">
        <f t="shared" si="1132"/>
        <v>#NAME?</v>
      </c>
      <c r="W48">
        <f t="shared" si="1123"/>
        <v>43</v>
      </c>
      <c r="X48">
        <f t="shared" si="1124"/>
        <v>-0.68974482309167595</v>
      </c>
      <c r="Y48" t="e">
        <f t="shared" si="1125"/>
        <v>#NAME?</v>
      </c>
      <c r="Z48" t="e">
        <f t="shared" si="1126"/>
        <v>#NAME?</v>
      </c>
      <c r="AA48" t="e">
        <f t="shared" si="1112"/>
        <v>#NAME?</v>
      </c>
      <c r="AB48" t="e">
        <f t="shared" si="1127"/>
        <v>#NAME?</v>
      </c>
      <c r="AC48" t="e">
        <f t="shared" si="1128"/>
        <v>#NAME?</v>
      </c>
      <c r="AE48">
        <f t="shared" si="1133"/>
        <v>43</v>
      </c>
      <c r="AF48">
        <f t="shared" si="1122"/>
        <v>-0.68974482309167595</v>
      </c>
    </row>
    <row r="49">
      <c r="A49">
        <f t="shared" si="1129"/>
        <v>43</v>
      </c>
      <c r="B49">
        <v>-0.80304736276954691</v>
      </c>
      <c r="C49">
        <f t="shared" si="1130"/>
        <v>-0.68974482309167595</v>
      </c>
      <c r="E49">
        <f t="shared" si="1131"/>
        <v>44</v>
      </c>
      <c r="F49">
        <f t="shared" si="1121"/>
        <v>-4.6761014350019003e-02</v>
      </c>
      <c r="G49" t="e">
        <f t="shared" si="1132"/>
        <v>#NAME?</v>
      </c>
      <c r="W49">
        <f t="shared" si="1123"/>
        <v>44</v>
      </c>
      <c r="X49">
        <f t="shared" si="1124"/>
        <v>-4.6761014350019003e-02</v>
      </c>
      <c r="Y49" t="e">
        <f t="shared" si="1125"/>
        <v>#NAME?</v>
      </c>
      <c r="Z49" t="e">
        <f t="shared" si="1126"/>
        <v>#NAME?</v>
      </c>
      <c r="AA49" t="e">
        <f t="shared" si="1112"/>
        <v>#NAME?</v>
      </c>
      <c r="AB49" t="e">
        <f t="shared" si="1127"/>
        <v>#NAME?</v>
      </c>
      <c r="AC49" t="e">
        <f t="shared" si="1128"/>
        <v>#NAME?</v>
      </c>
      <c r="AE49">
        <f t="shared" si="1133"/>
        <v>44</v>
      </c>
      <c r="AF49">
        <f t="shared" si="1122"/>
        <v>-4.6761014350019003e-02</v>
      </c>
    </row>
    <row r="50">
      <c r="A50">
        <f t="shared" si="1129"/>
        <v>44</v>
      </c>
      <c r="B50">
        <v>0.2754508892602448</v>
      </c>
      <c r="C50">
        <f t="shared" si="1130"/>
        <v>-4.6761014350019003e-02</v>
      </c>
      <c r="E50">
        <f t="shared" si="1131"/>
        <v>45</v>
      </c>
      <c r="F50">
        <f t="shared" si="1121"/>
        <v>-6.7915955901391004e-02</v>
      </c>
      <c r="G50" t="e">
        <f t="shared" si="1132"/>
        <v>#NAME?</v>
      </c>
      <c r="W50">
        <f t="shared" si="1123"/>
        <v>45</v>
      </c>
      <c r="X50">
        <f t="shared" si="1124"/>
        <v>-6.7915955901391004e-02</v>
      </c>
      <c r="Y50" t="e">
        <f t="shared" si="1125"/>
        <v>#NAME?</v>
      </c>
      <c r="Z50" t="e">
        <f t="shared" si="1126"/>
        <v>#NAME?</v>
      </c>
      <c r="AA50" t="e">
        <f t="shared" si="1112"/>
        <v>#NAME?</v>
      </c>
      <c r="AB50" t="e">
        <f t="shared" si="1127"/>
        <v>#NAME?</v>
      </c>
      <c r="AC50" t="e">
        <f t="shared" si="1128"/>
        <v>#NAME?</v>
      </c>
      <c r="AE50">
        <f t="shared" si="1133"/>
        <v>45</v>
      </c>
      <c r="AF50">
        <f t="shared" si="1122"/>
        <v>-6.7915955901391004e-02</v>
      </c>
    </row>
    <row r="51">
      <c r="A51">
        <f t="shared" si="1129"/>
        <v>45</v>
      </c>
      <c r="B51">
        <v>1.990693199567108e-02</v>
      </c>
      <c r="C51">
        <f t="shared" si="1130"/>
        <v>-6.7915955901391004e-02</v>
      </c>
      <c r="E51">
        <f t="shared" si="1131"/>
        <v>46</v>
      </c>
      <c r="F51">
        <f t="shared" si="1121"/>
        <v>1.6351027285369599</v>
      </c>
      <c r="G51" t="e">
        <f t="shared" si="1132"/>
        <v>#NAME?</v>
      </c>
      <c r="W51">
        <f t="shared" si="1123"/>
        <v>46</v>
      </c>
      <c r="X51">
        <f t="shared" si="1124"/>
        <v>1.6351027285369599</v>
      </c>
      <c r="Y51" t="e">
        <f t="shared" si="1125"/>
        <v>#NAME?</v>
      </c>
      <c r="Z51" t="e">
        <f t="shared" si="1126"/>
        <v>#NAME?</v>
      </c>
      <c r="AA51" t="e">
        <f t="shared" si="1112"/>
        <v>#NAME?</v>
      </c>
      <c r="AB51" t="e">
        <f t="shared" si="1127"/>
        <v>#NAME?</v>
      </c>
      <c r="AC51" t="e">
        <f t="shared" si="1128"/>
        <v>#NAME?</v>
      </c>
      <c r="AE51">
        <f t="shared" si="1133"/>
        <v>46</v>
      </c>
      <c r="AF51">
        <f t="shared" si="1122"/>
        <v>1.6351027285369599</v>
      </c>
    </row>
    <row r="52">
      <c r="A52">
        <f t="shared" si="1129"/>
        <v>46</v>
      </c>
      <c r="B52">
        <v>1.6866252840670588</v>
      </c>
      <c r="C52">
        <f t="shared" si="1130"/>
        <v>1.6351027285369599</v>
      </c>
      <c r="E52">
        <f t="shared" si="1131"/>
        <v>47</v>
      </c>
      <c r="F52">
        <f t="shared" si="1121"/>
        <v>0.42824334673203202</v>
      </c>
      <c r="G52" t="e">
        <f t="shared" si="1132"/>
        <v>#NAME?</v>
      </c>
      <c r="W52">
        <f t="shared" si="1123"/>
        <v>47</v>
      </c>
      <c r="X52">
        <f t="shared" si="1124"/>
        <v>0.42824334673203202</v>
      </c>
      <c r="Y52" t="e">
        <f t="shared" si="1125"/>
        <v>#NAME?</v>
      </c>
      <c r="Z52" t="e">
        <f t="shared" si="1126"/>
        <v>#NAME?</v>
      </c>
      <c r="AA52" t="e">
        <f t="shared" si="1112"/>
        <v>#NAME?</v>
      </c>
      <c r="AB52" t="e">
        <f t="shared" si="1127"/>
        <v>#NAME?</v>
      </c>
      <c r="AC52" t="e">
        <f t="shared" si="1128"/>
        <v>#NAME?</v>
      </c>
      <c r="AE52">
        <f t="shared" si="1133"/>
        <v>47</v>
      </c>
      <c r="AF52">
        <f t="shared" si="1122"/>
        <v>0.42824334673203202</v>
      </c>
    </row>
    <row r="53">
      <c r="A53">
        <f t="shared" si="1129"/>
        <v>47</v>
      </c>
      <c r="B53">
        <v>-0.37900350643042596</v>
      </c>
      <c r="C53">
        <f t="shared" si="1130"/>
        <v>0.42824334673203202</v>
      </c>
      <c r="E53">
        <f t="shared" si="1131"/>
        <v>48</v>
      </c>
      <c r="F53">
        <f t="shared" si="1121"/>
        <v>-0.30576894721655101</v>
      </c>
      <c r="G53" t="e">
        <f t="shared" si="1132"/>
        <v>#NAME?</v>
      </c>
      <c r="W53">
        <f t="shared" si="1123"/>
        <v>48</v>
      </c>
      <c r="X53">
        <f t="shared" si="1124"/>
        <v>-0.30576894721655101</v>
      </c>
      <c r="Y53" t="e">
        <f t="shared" si="1125"/>
        <v>#NAME?</v>
      </c>
      <c r="Z53" t="e">
        <f t="shared" si="1126"/>
        <v>#NAME?</v>
      </c>
      <c r="AA53" t="e">
        <f t="shared" si="1112"/>
        <v>#NAME?</v>
      </c>
      <c r="AB53" t="e">
        <f t="shared" si="1127"/>
        <v>#NAME?</v>
      </c>
      <c r="AC53" t="e">
        <f t="shared" si="1128"/>
        <v>#NAME?</v>
      </c>
      <c r="AE53">
        <f t="shared" si="1133"/>
        <v>48</v>
      </c>
      <c r="AF53">
        <f t="shared" si="1122"/>
        <v>-0.30576894721655101</v>
      </c>
    </row>
    <row r="54">
      <c r="A54">
        <f t="shared" si="1129"/>
        <v>48</v>
      </c>
      <c r="B54">
        <v>-0.68133999121505795</v>
      </c>
      <c r="C54">
        <f t="shared" si="1130"/>
        <v>-0.30576894721655101</v>
      </c>
      <c r="E54">
        <f t="shared" si="1131"/>
        <v>49</v>
      </c>
      <c r="F54">
        <f t="shared" si="1121"/>
        <v>0.16903700930034099</v>
      </c>
      <c r="G54" t="e">
        <f t="shared" si="1132"/>
        <v>#NAME?</v>
      </c>
      <c r="W54">
        <f t="shared" si="1123"/>
        <v>49</v>
      </c>
      <c r="X54">
        <f t="shared" si="1124"/>
        <v>0.16903700930034099</v>
      </c>
      <c r="Y54" t="e">
        <f t="shared" si="1125"/>
        <v>#NAME?</v>
      </c>
      <c r="Z54" t="e">
        <f t="shared" si="1126"/>
        <v>#NAME?</v>
      </c>
      <c r="AA54" t="e">
        <f t="shared" si="1112"/>
        <v>#NAME?</v>
      </c>
      <c r="AB54" t="e">
        <f t="shared" si="1127"/>
        <v>#NAME?</v>
      </c>
      <c r="AC54" t="e">
        <f t="shared" si="1128"/>
        <v>#NAME?</v>
      </c>
      <c r="AE54">
        <f t="shared" si="1133"/>
        <v>49</v>
      </c>
      <c r="AF54">
        <f t="shared" si="1122"/>
        <v>0.16903700930034099</v>
      </c>
    </row>
    <row r="55">
      <c r="A55">
        <f t="shared" si="1129"/>
        <v>49</v>
      </c>
      <c r="B55">
        <v>0.24680727410891504</v>
      </c>
      <c r="C55">
        <f t="shared" si="1130"/>
        <v>0.16903700930034099</v>
      </c>
      <c r="E55">
        <f t="shared" si="1131"/>
        <v>50</v>
      </c>
      <c r="F55">
        <f t="shared" si="1121"/>
        <v>0.48665589243652302</v>
      </c>
      <c r="G55" t="e">
        <f t="shared" si="1132"/>
        <v>#NAME?</v>
      </c>
      <c r="W55">
        <f t="shared" si="1123"/>
        <v>50</v>
      </c>
      <c r="X55">
        <f t="shared" si="1124"/>
        <v>0.48665589243652302</v>
      </c>
      <c r="Y55" t="e">
        <f t="shared" si="1125"/>
        <v>#NAME?</v>
      </c>
      <c r="Z55" t="e">
        <f t="shared" si="1126"/>
        <v>#NAME?</v>
      </c>
      <c r="AA55" t="e">
        <f t="shared" si="1112"/>
        <v>#NAME?</v>
      </c>
      <c r="AB55" t="e">
        <f t="shared" si="1127"/>
        <v>#NAME?</v>
      </c>
      <c r="AC55" t="e">
        <f t="shared" si="1128"/>
        <v>#NAME?</v>
      </c>
      <c r="AE55">
        <f t="shared" si="1133"/>
        <v>50</v>
      </c>
      <c r="AF55">
        <f t="shared" si="1122"/>
        <v>0.48665589243652302</v>
      </c>
    </row>
    <row r="56">
      <c r="A56">
        <f t="shared" si="1129"/>
        <v>50</v>
      </c>
      <c r="B56">
        <v>0.41769144074806713</v>
      </c>
      <c r="C56">
        <f t="shared" si="1130"/>
        <v>0.48665589243652302</v>
      </c>
      <c r="E56">
        <f t="shared" si="1131"/>
        <v>51</v>
      </c>
      <c r="F56">
        <f t="shared" si="1121"/>
        <v>0.656149765945374</v>
      </c>
      <c r="G56" t="e">
        <f t="shared" si="1132"/>
        <v>#NAME?</v>
      </c>
      <c r="W56">
        <f t="shared" si="1123"/>
        <v>51</v>
      </c>
      <c r="X56">
        <f t="shared" si="1124"/>
        <v>0.656149765945374</v>
      </c>
      <c r="Y56" t="e">
        <f t="shared" si="1125"/>
        <v>#NAME?</v>
      </c>
      <c r="Z56" t="e">
        <f t="shared" si="1126"/>
        <v>#NAME?</v>
      </c>
      <c r="AA56" t="e">
        <f t="shared" si="1112"/>
        <v>#NAME?</v>
      </c>
      <c r="AB56" t="e">
        <f t="shared" si="1127"/>
        <v>#NAME?</v>
      </c>
      <c r="AC56" t="e">
        <f t="shared" si="1128"/>
        <v>#NAME?</v>
      </c>
      <c r="AE56">
        <f t="shared" si="1133"/>
        <v>51</v>
      </c>
      <c r="AF56">
        <f t="shared" si="1122"/>
        <v>0.656149765945374</v>
      </c>
    </row>
    <row r="57">
      <c r="A57">
        <f t="shared" si="1129"/>
        <v>51</v>
      </c>
      <c r="B57">
        <v>0.39902892938942136</v>
      </c>
      <c r="C57">
        <f t="shared" si="1130"/>
        <v>0.656149765945374</v>
      </c>
      <c r="E57">
        <f t="shared" si="1131"/>
        <v>52</v>
      </c>
      <c r="F57">
        <f t="shared" si="1121"/>
        <v>0.12931765474080301</v>
      </c>
      <c r="G57" t="e">
        <f t="shared" si="1132"/>
        <v>#NAME?</v>
      </c>
      <c r="W57">
        <f t="shared" si="1123"/>
        <v>52</v>
      </c>
      <c r="X57">
        <f t="shared" si="1124"/>
        <v>0.12931765474080301</v>
      </c>
      <c r="Y57" t="e">
        <f t="shared" si="1125"/>
        <v>#NAME?</v>
      </c>
      <c r="Z57" t="e">
        <f t="shared" si="1126"/>
        <v>#NAME?</v>
      </c>
      <c r="AA57" t="e">
        <f t="shared" si="1112"/>
        <v>#NAME?</v>
      </c>
      <c r="AB57" t="e">
        <f t="shared" si="1127"/>
        <v>#NAME?</v>
      </c>
      <c r="AC57" t="e">
        <f t="shared" si="1128"/>
        <v>#NAME?</v>
      </c>
      <c r="AE57">
        <f t="shared" si="1133"/>
        <v>52</v>
      </c>
      <c r="AF57">
        <f t="shared" si="1122"/>
        <v>0.12931765474080301</v>
      </c>
    </row>
    <row r="58">
      <c r="A58">
        <f t="shared" si="1129"/>
        <v>52</v>
      </c>
      <c r="B58">
        <v>-0.25018139554307461</v>
      </c>
      <c r="C58">
        <f t="shared" si="1130"/>
        <v>0.12931765474080301</v>
      </c>
      <c r="E58">
        <f t="shared" si="1131"/>
        <v>53</v>
      </c>
      <c r="F58">
        <f t="shared" si="1121"/>
        <v>-1.0336941858944499</v>
      </c>
      <c r="G58" t="e">
        <f t="shared" si="1132"/>
        <v>#NAME?</v>
      </c>
      <c r="W58">
        <f t="shared" si="1123"/>
        <v>53</v>
      </c>
      <c r="X58">
        <f t="shared" si="1124"/>
        <v>-1.0336941858944499</v>
      </c>
      <c r="Y58" t="e">
        <f t="shared" si="1125"/>
        <v>#NAME?</v>
      </c>
      <c r="Z58" t="e">
        <f t="shared" si="1126"/>
        <v>#NAME?</v>
      </c>
      <c r="AA58" t="e">
        <f t="shared" si="1112"/>
        <v>#NAME?</v>
      </c>
      <c r="AB58" t="e">
        <f t="shared" si="1127"/>
        <v>#NAME?</v>
      </c>
      <c r="AC58" t="e">
        <f t="shared" si="1128"/>
        <v>#NAME?</v>
      </c>
      <c r="AE58">
        <f t="shared" si="1133"/>
        <v>53</v>
      </c>
      <c r="AF58">
        <f t="shared" si="1122"/>
        <v>-1.0336941858944499</v>
      </c>
    </row>
    <row r="59">
      <c r="A59">
        <f t="shared" si="1129"/>
        <v>53</v>
      </c>
      <c r="B59">
        <v>-1.1742528233216154</v>
      </c>
      <c r="C59">
        <f t="shared" si="1130"/>
        <v>-1.0336941858944499</v>
      </c>
      <c r="E59">
        <f t="shared" si="1131"/>
        <v>54</v>
      </c>
      <c r="F59">
        <f t="shared" si="1121"/>
        <v>-1.89324851782638</v>
      </c>
      <c r="G59" t="e">
        <f t="shared" si="1132"/>
        <v>#NAME?</v>
      </c>
      <c r="W59">
        <f t="shared" si="1123"/>
        <v>54</v>
      </c>
      <c r="X59">
        <f t="shared" si="1124"/>
        <v>-1.89324851782638</v>
      </c>
      <c r="Y59" t="e">
        <f t="shared" si="1125"/>
        <v>#NAME?</v>
      </c>
      <c r="Z59" t="e">
        <f t="shared" si="1126"/>
        <v>#NAME?</v>
      </c>
      <c r="AA59" t="e">
        <f t="shared" si="1112"/>
        <v>#NAME?</v>
      </c>
      <c r="AB59" t="e">
        <f t="shared" si="1127"/>
        <v>#NAME?</v>
      </c>
      <c r="AC59" t="e">
        <f t="shared" si="1128"/>
        <v>#NAME?</v>
      </c>
      <c r="AE59">
        <f t="shared" si="1133"/>
        <v>54</v>
      </c>
      <c r="AF59">
        <f t="shared" si="1122"/>
        <v>-1.89324851782638</v>
      </c>
    </row>
    <row r="60">
      <c r="A60">
        <f t="shared" si="1129"/>
        <v>54</v>
      </c>
      <c r="B60">
        <v>-1.404513152364584</v>
      </c>
      <c r="C60">
        <f t="shared" si="1130"/>
        <v>-1.89324851782638</v>
      </c>
      <c r="E60">
        <f t="shared" si="1131"/>
        <v>55</v>
      </c>
      <c r="F60">
        <f t="shared" si="1121"/>
        <v>-1.3261012119216999</v>
      </c>
      <c r="G60" t="e">
        <f t="shared" si="1132"/>
        <v>#NAME?</v>
      </c>
      <c r="W60">
        <f t="shared" si="1123"/>
        <v>55</v>
      </c>
      <c r="X60">
        <f t="shared" si="1124"/>
        <v>-1.3261012119216999</v>
      </c>
      <c r="Y60" t="e">
        <f t="shared" si="1125"/>
        <v>#NAME?</v>
      </c>
      <c r="Z60" t="e">
        <f t="shared" si="1126"/>
        <v>#NAME?</v>
      </c>
      <c r="AA60" t="e">
        <f t="shared" si="1112"/>
        <v>#NAME?</v>
      </c>
      <c r="AB60" t="e">
        <f t="shared" si="1127"/>
        <v>#NAME?</v>
      </c>
      <c r="AC60" t="e">
        <f t="shared" si="1128"/>
        <v>#NAME?</v>
      </c>
      <c r="AE60">
        <f t="shared" si="1133"/>
        <v>55</v>
      </c>
      <c r="AF60">
        <f t="shared" si="1122"/>
        <v>-1.3261012119216999</v>
      </c>
    </row>
    <row r="61">
      <c r="A61">
        <f t="shared" si="1129"/>
        <v>55</v>
      </c>
      <c r="B61">
        <v>-0.28172987991615123</v>
      </c>
      <c r="C61">
        <f t="shared" si="1130"/>
        <v>-1.3261012119216999</v>
      </c>
      <c r="E61">
        <f t="shared" si="1131"/>
        <v>56</v>
      </c>
      <c r="F61">
        <f t="shared" si="1121"/>
        <v>-1.26013785508198</v>
      </c>
      <c r="G61" t="e">
        <f t="shared" si="1132"/>
        <v>#NAME?</v>
      </c>
      <c r="W61">
        <f t="shared" si="1123"/>
        <v>56</v>
      </c>
      <c r="X61">
        <f t="shared" si="1124"/>
        <v>-1.26013785508198</v>
      </c>
      <c r="Y61" t="e">
        <f t="shared" si="1125"/>
        <v>#NAME?</v>
      </c>
      <c r="Z61" t="e">
        <f t="shared" si="1126"/>
        <v>#NAME?</v>
      </c>
      <c r="AA61" t="e">
        <f t="shared" si="1112"/>
        <v>#NAME?</v>
      </c>
      <c r="AB61" t="e">
        <f t="shared" si="1127"/>
        <v>#NAME?</v>
      </c>
      <c r="AC61" t="e">
        <f t="shared" si="1128"/>
        <v>#NAME?</v>
      </c>
      <c r="AE61">
        <f t="shared" si="1133"/>
        <v>56</v>
      </c>
      <c r="AF61">
        <f t="shared" si="1122"/>
        <v>-1.26013785508198</v>
      </c>
    </row>
    <row r="62">
      <c r="A62">
        <f t="shared" si="1129"/>
        <v>56</v>
      </c>
      <c r="B62">
        <v>-0.38821298272001858</v>
      </c>
      <c r="C62">
        <f t="shared" si="1130"/>
        <v>-1.26013785508198</v>
      </c>
      <c r="E62">
        <f t="shared" si="1131"/>
        <v>57</v>
      </c>
      <c r="F62">
        <f t="shared" si="1121"/>
        <v>-1.2360238876608201</v>
      </c>
      <c r="G62" t="e">
        <f t="shared" si="1132"/>
        <v>#NAME?</v>
      </c>
      <c r="W62">
        <f t="shared" si="1123"/>
        <v>57</v>
      </c>
      <c r="X62">
        <f t="shared" si="1124"/>
        <v>-1.2360238876608201</v>
      </c>
      <c r="Y62" t="e">
        <f t="shared" si="1125"/>
        <v>#NAME?</v>
      </c>
      <c r="Z62" t="e">
        <f t="shared" si="1126"/>
        <v>#NAME?</v>
      </c>
      <c r="AA62" t="e">
        <f t="shared" si="1112"/>
        <v>#NAME?</v>
      </c>
      <c r="AB62" t="e">
        <f t="shared" si="1127"/>
        <v>#NAME?</v>
      </c>
      <c r="AC62" t="e">
        <f t="shared" si="1128"/>
        <v>#NAME?</v>
      </c>
      <c r="AE62">
        <f t="shared" si="1133"/>
        <v>57</v>
      </c>
      <c r="AF62">
        <f t="shared" si="1122"/>
        <v>-1.2360238876608201</v>
      </c>
    </row>
    <row r="63">
      <c r="A63">
        <f t="shared" si="1129"/>
        <v>57</v>
      </c>
      <c r="B63">
        <v>-0.43156998564742921</v>
      </c>
      <c r="C63">
        <f t="shared" si="1130"/>
        <v>-1.2360238876608201</v>
      </c>
      <c r="E63">
        <f t="shared" si="1131"/>
        <v>58</v>
      </c>
      <c r="F63">
        <f t="shared" si="1121"/>
        <v>0.60763228061869201</v>
      </c>
      <c r="G63" t="e">
        <f t="shared" si="1132"/>
        <v>#NAME?</v>
      </c>
      <c r="W63">
        <f t="shared" si="1123"/>
        <v>58</v>
      </c>
      <c r="X63">
        <f t="shared" si="1124"/>
        <v>0.60763228061869201</v>
      </c>
      <c r="Y63" t="e">
        <f t="shared" si="1125"/>
        <v>#NAME?</v>
      </c>
      <c r="Z63" t="e">
        <f t="shared" si="1126"/>
        <v>#NAME?</v>
      </c>
      <c r="AA63" t="e">
        <f t="shared" si="1112"/>
        <v>#NAME?</v>
      </c>
      <c r="AB63" t="e">
        <f t="shared" si="1127"/>
        <v>#NAME?</v>
      </c>
      <c r="AC63" t="e">
        <f t="shared" si="1128"/>
        <v>#NAME?</v>
      </c>
      <c r="AE63">
        <f t="shared" si="1133"/>
        <v>58</v>
      </c>
      <c r="AF63">
        <f t="shared" si="1122"/>
        <v>0.60763228061869201</v>
      </c>
    </row>
    <row r="64">
      <c r="A64">
        <f t="shared" si="1129"/>
        <v>58</v>
      </c>
      <c r="B64">
        <v>1.386535004851783</v>
      </c>
      <c r="C64">
        <f t="shared" si="1130"/>
        <v>0.60763228061869201</v>
      </c>
      <c r="E64">
        <f t="shared" si="1131"/>
        <v>59</v>
      </c>
      <c r="F64">
        <f t="shared" si="1121"/>
        <v>-1.15371562663076</v>
      </c>
      <c r="G64" t="e">
        <f t="shared" si="1132"/>
        <v>#NAME?</v>
      </c>
      <c r="W64">
        <f t="shared" si="1123"/>
        <v>59</v>
      </c>
      <c r="X64">
        <f t="shared" si="1124"/>
        <v>-1.15371562663076</v>
      </c>
      <c r="Y64" t="e">
        <f t="shared" si="1125"/>
        <v>#NAME?</v>
      </c>
      <c r="Z64" t="e">
        <f t="shared" si="1126"/>
        <v>#NAME?</v>
      </c>
      <c r="AA64" t="e">
        <f t="shared" si="1112"/>
        <v>#NAME?</v>
      </c>
      <c r="AB64" t="e">
        <f t="shared" si="1127"/>
        <v>#NAME?</v>
      </c>
      <c r="AC64" t="e">
        <f t="shared" si="1128"/>
        <v>#NAME?</v>
      </c>
      <c r="AE64">
        <f t="shared" si="1133"/>
        <v>59</v>
      </c>
      <c r="AF64">
        <f t="shared" si="1122"/>
        <v>-1.15371562663076</v>
      </c>
    </row>
    <row r="65">
      <c r="A65">
        <f t="shared" si="1129"/>
        <v>59</v>
      </c>
      <c r="B65">
        <v>-1.3017512220934879</v>
      </c>
      <c r="C65">
        <f t="shared" si="1130"/>
        <v>-1.15371562663076</v>
      </c>
      <c r="E65">
        <f t="shared" si="1131"/>
        <v>60</v>
      </c>
      <c r="F65">
        <f t="shared" si="1121"/>
        <v>-1.8025695228409699</v>
      </c>
      <c r="G65" t="e">
        <f t="shared" si="1132"/>
        <v>#NAME?</v>
      </c>
      <c r="W65">
        <f t="shared" si="1123"/>
        <v>60</v>
      </c>
      <c r="X65">
        <f t="shared" si="1124"/>
        <v>-1.8025695228409699</v>
      </c>
      <c r="Y65" t="e">
        <f t="shared" si="1125"/>
        <v>#NAME?</v>
      </c>
      <c r="Z65" t="e">
        <f t="shared" si="1126"/>
        <v>#NAME?</v>
      </c>
      <c r="AA65" t="e">
        <f t="shared" si="1112"/>
        <v>#NAME?</v>
      </c>
      <c r="AB65" t="e">
        <f t="shared" si="1127"/>
        <v>#NAME?</v>
      </c>
      <c r="AC65" t="e">
        <f t="shared" si="1128"/>
        <v>#NAME?</v>
      </c>
      <c r="AE65">
        <f t="shared" si="1133"/>
        <v>60</v>
      </c>
      <c r="AF65">
        <f t="shared" si="1122"/>
        <v>-1.8025695228409699</v>
      </c>
    </row>
    <row r="66">
      <c r="A66">
        <f t="shared" si="1129"/>
        <v>60</v>
      </c>
      <c r="B66">
        <v>-1.2553188286181356</v>
      </c>
      <c r="C66">
        <f t="shared" si="1130"/>
        <v>-1.8025695228409699</v>
      </c>
      <c r="E66">
        <f t="shared" si="1131"/>
        <v>61</v>
      </c>
      <c r="F66">
        <f t="shared" si="1121"/>
        <v>-0.29953218565044998</v>
      </c>
      <c r="G66" t="e">
        <f t="shared" si="1132"/>
        <v>#NAME?</v>
      </c>
      <c r="W66">
        <f t="shared" si="1123"/>
        <v>61</v>
      </c>
      <c r="X66">
        <f t="shared" si="1124"/>
        <v>-0.29953218565044998</v>
      </c>
      <c r="Y66" t="e">
        <f t="shared" si="1125"/>
        <v>#NAME?</v>
      </c>
      <c r="Z66" t="e">
        <f t="shared" si="1126"/>
        <v>#NAME?</v>
      </c>
      <c r="AA66" t="e">
        <f t="shared" si="1112"/>
        <v>#NAME?</v>
      </c>
      <c r="AB66" t="e">
        <f t="shared" si="1127"/>
        <v>#NAME?</v>
      </c>
      <c r="AC66" t="e">
        <f t="shared" si="1128"/>
        <v>#NAME?</v>
      </c>
      <c r="AE66">
        <f t="shared" si="1133"/>
        <v>61</v>
      </c>
      <c r="AF66">
        <f t="shared" si="1122"/>
        <v>-0.29953218565044998</v>
      </c>
    </row>
    <row r="67">
      <c r="A67">
        <f t="shared" si="1129"/>
        <v>61</v>
      </c>
      <c r="B67">
        <v>0.71120271461460161</v>
      </c>
      <c r="C67">
        <f t="shared" si="1130"/>
        <v>-0.29953218565044998</v>
      </c>
      <c r="E67">
        <f t="shared" si="1131"/>
        <v>62</v>
      </c>
      <c r="F67">
        <f t="shared" si="1121"/>
        <v>-0.50119153448444898</v>
      </c>
      <c r="G67" t="e">
        <f t="shared" si="1132"/>
        <v>#NAME?</v>
      </c>
      <c r="W67">
        <f t="shared" si="1123"/>
        <v>62</v>
      </c>
      <c r="X67">
        <f t="shared" si="1124"/>
        <v>-0.50119153448444898</v>
      </c>
      <c r="Y67" t="e">
        <f t="shared" si="1125"/>
        <v>#NAME?</v>
      </c>
      <c r="Z67" t="e">
        <f t="shared" si="1126"/>
        <v>#NAME?</v>
      </c>
      <c r="AA67" t="e">
        <f t="shared" si="1112"/>
        <v>#NAME?</v>
      </c>
      <c r="AB67" t="e">
        <f t="shared" si="1127"/>
        <v>#NAME?</v>
      </c>
      <c r="AC67" t="e">
        <f t="shared" si="1128"/>
        <v>#NAME?</v>
      </c>
      <c r="AE67">
        <f t="shared" si="1133"/>
        <v>62</v>
      </c>
      <c r="AF67">
        <f t="shared" si="1122"/>
        <v>-0.50119153448444898</v>
      </c>
    </row>
    <row r="68">
      <c r="A68">
        <f t="shared" si="1129"/>
        <v>62</v>
      </c>
      <c r="B68">
        <v>-0.14927846160621394</v>
      </c>
      <c r="C68">
        <f t="shared" si="1130"/>
        <v>-0.50119153448444898</v>
      </c>
      <c r="E68">
        <f t="shared" si="1131"/>
        <v>63</v>
      </c>
      <c r="F68">
        <f t="shared" si="1121"/>
        <v>-0.29961421931889398</v>
      </c>
      <c r="G68" t="e">
        <f t="shared" si="1132"/>
        <v>#NAME?</v>
      </c>
      <c r="W68">
        <f t="shared" si="1123"/>
        <v>63</v>
      </c>
      <c r="X68">
        <f t="shared" si="1124"/>
        <v>-0.29961421931889398</v>
      </c>
      <c r="Y68" t="e">
        <f t="shared" si="1125"/>
        <v>#NAME?</v>
      </c>
      <c r="Z68" t="e">
        <f t="shared" si="1126"/>
        <v>#NAME?</v>
      </c>
      <c r="AA68" t="e">
        <f t="shared" si="1112"/>
        <v>#NAME?</v>
      </c>
      <c r="AB68" t="e">
        <f t="shared" si="1127"/>
        <v>#NAME?</v>
      </c>
      <c r="AC68" t="e">
        <f t="shared" si="1128"/>
        <v>#NAME?</v>
      </c>
      <c r="AE68">
        <f t="shared" si="1133"/>
        <v>63</v>
      </c>
      <c r="AF68">
        <f t="shared" si="1122"/>
        <v>-0.29961421931889398</v>
      </c>
    </row>
    <row r="69">
      <c r="A69">
        <f t="shared" si="1129"/>
        <v>63</v>
      </c>
      <c r="B69">
        <v>2.1364162498976987e-02</v>
      </c>
      <c r="C69">
        <f t="shared" si="1130"/>
        <v>-0.29961421931889398</v>
      </c>
      <c r="E69">
        <f t="shared" si="1131"/>
        <v>64</v>
      </c>
      <c r="F69">
        <f t="shared" si="1121"/>
        <v>-0.18037200484180599</v>
      </c>
      <c r="G69" t="e">
        <f t="shared" si="1132"/>
        <v>#NAME?</v>
      </c>
      <c r="W69">
        <f t="shared" si="1123"/>
        <v>64</v>
      </c>
      <c r="X69">
        <f t="shared" si="1124"/>
        <v>-0.18037200484180599</v>
      </c>
      <c r="Y69" t="e">
        <f t="shared" si="1125"/>
        <v>#NAME?</v>
      </c>
      <c r="Z69" t="e">
        <f t="shared" si="1126"/>
        <v>#NAME?</v>
      </c>
      <c r="AA69" t="e">
        <f t="shared" si="1112"/>
        <v>#NAME?</v>
      </c>
      <c r="AB69" t="e">
        <f t="shared" si="1127"/>
        <v>#NAME?</v>
      </c>
      <c r="AC69" t="e">
        <f t="shared" si="1128"/>
        <v>#NAME?</v>
      </c>
      <c r="AE69">
        <f t="shared" si="1133"/>
        <v>64</v>
      </c>
      <c r="AF69">
        <f t="shared" si="1122"/>
        <v>-0.18037200484180599</v>
      </c>
    </row>
    <row r="70">
      <c r="A70">
        <f t="shared" si="1129"/>
        <v>64</v>
      </c>
      <c r="B70">
        <v>3.3630781181214632e-02</v>
      </c>
      <c r="C70">
        <f t="shared" si="1130"/>
        <v>-0.18037200484180599</v>
      </c>
      <c r="E70">
        <f t="shared" si="1131"/>
        <v>65</v>
      </c>
      <c r="F70">
        <f t="shared" si="1121"/>
        <v>2.35704558608855</v>
      </c>
      <c r="G70" t="e">
        <f t="shared" si="1132"/>
        <v>#NAME?</v>
      </c>
      <c r="W70">
        <f t="shared" si="1123"/>
        <v>65</v>
      </c>
      <c r="X70">
        <f t="shared" si="1124"/>
        <v>2.35704558608855</v>
      </c>
      <c r="Y70" t="e">
        <f t="shared" si="1125"/>
        <v>#NAME?</v>
      </c>
      <c r="Z70" t="e">
        <f t="shared" si="1126"/>
        <v>#NAME?</v>
      </c>
      <c r="AA70" t="e">
        <f t="shared" ref="AA70:AA110" si="1135">K$16</f>
        <v>#NAME?</v>
      </c>
      <c r="AB70" t="e">
        <f t="shared" si="1127"/>
        <v>#NAME?</v>
      </c>
      <c r="AC70" t="e">
        <f t="shared" si="1128"/>
        <v>#NAME?</v>
      </c>
      <c r="AE70">
        <f t="shared" si="1133"/>
        <v>65</v>
      </c>
      <c r="AF70">
        <f t="shared" si="1122"/>
        <v>2.35704558608855</v>
      </c>
    </row>
    <row r="71">
      <c r="A71">
        <f t="shared" si="1129"/>
        <v>65</v>
      </c>
      <c r="B71">
        <v>2.4900321457140446</v>
      </c>
      <c r="C71">
        <f t="shared" si="1130"/>
        <v>2.35704558608855</v>
      </c>
      <c r="E71">
        <f t="shared" si="1131"/>
        <v>66</v>
      </c>
      <c r="F71">
        <f t="shared" si="1121"/>
        <v>0.92360441469873999</v>
      </c>
      <c r="G71" t="e">
        <f t="shared" si="1132"/>
        <v>#NAME?</v>
      </c>
      <c r="W71">
        <f t="shared" si="1123"/>
        <v>66</v>
      </c>
      <c r="X71">
        <f t="shared" si="1124"/>
        <v>0.92360441469873999</v>
      </c>
      <c r="Y71" t="e">
        <f t="shared" si="1125"/>
        <v>#NAME?</v>
      </c>
      <c r="Z71" t="e">
        <f t="shared" si="1126"/>
        <v>#NAME?</v>
      </c>
      <c r="AA71" t="e">
        <f t="shared" si="1135"/>
        <v>#NAME?</v>
      </c>
      <c r="AB71" t="e">
        <f t="shared" si="1127"/>
        <v>#NAME?</v>
      </c>
      <c r="AC71" t="e">
        <f t="shared" si="1128"/>
        <v>#NAME?</v>
      </c>
      <c r="AE71">
        <f t="shared" si="1133"/>
        <v>66</v>
      </c>
      <c r="AF71">
        <f t="shared" si="1122"/>
        <v>0.92360441469873999</v>
      </c>
    </row>
    <row r="72">
      <c r="A72">
        <f t="shared" si="1129"/>
        <v>66</v>
      </c>
      <c r="B72">
        <v>-0.22832106642044353</v>
      </c>
      <c r="C72">
        <f t="shared" si="1130"/>
        <v>0.92360441469873999</v>
      </c>
      <c r="E72">
        <f t="shared" si="1131"/>
        <v>67</v>
      </c>
      <c r="F72">
        <f t="shared" si="1121"/>
        <v>-0.29923415297503098</v>
      </c>
      <c r="G72" t="e">
        <f t="shared" si="1132"/>
        <v>#NAME?</v>
      </c>
      <c r="W72">
        <f t="shared" si="1123"/>
        <v>67</v>
      </c>
      <c r="X72">
        <f t="shared" si="1124"/>
        <v>-0.29923415297503098</v>
      </c>
      <c r="Y72" t="e">
        <f t="shared" si="1125"/>
        <v>#NAME?</v>
      </c>
      <c r="Z72" t="e">
        <f t="shared" si="1126"/>
        <v>#NAME?</v>
      </c>
      <c r="AA72" t="e">
        <f t="shared" si="1135"/>
        <v>#NAME?</v>
      </c>
      <c r="AB72" t="e">
        <f t="shared" si="1127"/>
        <v>#NAME?</v>
      </c>
      <c r="AC72" t="e">
        <f t="shared" si="1128"/>
        <v>#NAME?</v>
      </c>
      <c r="AE72">
        <f t="shared" si="1133"/>
        <v>67</v>
      </c>
      <c r="AF72">
        <f t="shared" si="1122"/>
        <v>-0.29923415297503098</v>
      </c>
    </row>
    <row r="73">
      <c r="A73">
        <f t="shared" si="1129"/>
        <v>67</v>
      </c>
      <c r="B73">
        <v>-0.99142145654823755</v>
      </c>
      <c r="C73">
        <f t="shared" si="1130"/>
        <v>-0.29923415297503098</v>
      </c>
      <c r="E73">
        <f t="shared" si="1131"/>
        <v>68</v>
      </c>
      <c r="F73">
        <f t="shared" ref="F73:F98" si="1136">C74</f>
        <v>0.27416106500695597</v>
      </c>
      <c r="G73" t="e">
        <f t="shared" si="1132"/>
        <v>#NAME?</v>
      </c>
      <c r="W73">
        <f t="shared" si="1123"/>
        <v>68</v>
      </c>
      <c r="X73">
        <f t="shared" si="1124"/>
        <v>0.27416106500695597</v>
      </c>
      <c r="Y73" t="e">
        <f t="shared" si="1125"/>
        <v>#NAME?</v>
      </c>
      <c r="Z73" t="e">
        <f t="shared" si="1126"/>
        <v>#NAME?</v>
      </c>
      <c r="AA73" t="e">
        <f t="shared" si="1135"/>
        <v>#NAME?</v>
      </c>
      <c r="AB73" t="e">
        <f t="shared" si="1127"/>
        <v>#NAME?</v>
      </c>
      <c r="AC73" t="e">
        <f t="shared" si="1128"/>
        <v>#NAME?</v>
      </c>
      <c r="AE73">
        <f t="shared" si="1133"/>
        <v>68</v>
      </c>
      <c r="AF73">
        <f t="shared" ref="AF73:AF98" si="1137">C74</f>
        <v>0.27416106500695597</v>
      </c>
    </row>
    <row r="74">
      <c r="A74">
        <f t="shared" si="1129"/>
        <v>68</v>
      </c>
      <c r="B74">
        <v>0.28534068077982994</v>
      </c>
      <c r="C74">
        <f t="shared" si="1130"/>
        <v>0.27416106500695597</v>
      </c>
      <c r="E74">
        <f t="shared" si="1131"/>
        <v>69</v>
      </c>
      <c r="F74">
        <f t="shared" si="1136"/>
        <v>-0.24391912623898801</v>
      </c>
      <c r="G74" t="e">
        <f t="shared" si="1132"/>
        <v>#NAME?</v>
      </c>
      <c r="W74">
        <f t="shared" ref="W74:W99" si="1138">E74</f>
        <v>69</v>
      </c>
      <c r="X74">
        <f t="shared" ref="X74:X99" si="1139">F74</f>
        <v>-0.24391912623898801</v>
      </c>
      <c r="Y74" t="e">
        <f t="shared" ref="Y74:Y99" si="1140">G74</f>
        <v>#NAME?</v>
      </c>
      <c r="Z74" t="e">
        <f t="shared" ref="Z74:Z99" si="1141">X74-Y74</f>
        <v>#NAME?</v>
      </c>
      <c r="AA74" t="e">
        <f t="shared" si="1135"/>
        <v>#NAME?</v>
      </c>
      <c r="AB74" t="e">
        <f t="shared" ref="AB74:AB99" si="1142">Z74-NORMSINV(1-AA$4/2)*AA74</f>
        <v>#NAME?</v>
      </c>
      <c r="AC74" t="e">
        <f t="shared" ref="AC74:AC99" si="1143">Z74+NORMSINV(1-AA$4/2)*AA74</f>
        <v>#NAME?</v>
      </c>
      <c r="AE74">
        <f t="shared" si="1133"/>
        <v>69</v>
      </c>
      <c r="AF74">
        <f t="shared" si="1137"/>
        <v>-0.24391912623898801</v>
      </c>
    </row>
    <row r="75">
      <c r="A75">
        <f t="shared" ref="A75:A100" si="1144">A74+1</f>
        <v>69</v>
      </c>
      <c r="B75">
        <v>-0.37876373558789128</v>
      </c>
      <c r="C75">
        <f t="shared" ref="C75:C99" si="1145">0.7*C74+B75-0.2*B74</f>
        <v>-0.24391912623898801</v>
      </c>
      <c r="E75">
        <f t="shared" ref="E75:E100" si="1146">E74+1</f>
        <v>70</v>
      </c>
      <c r="F75">
        <f t="shared" si="1136"/>
        <v>-0.71226815780491604</v>
      </c>
      <c r="G75" t="e">
        <f t="shared" ref="G75:G99" si="1147">F75-SUMPRODUCT(F74,J$6)-SUMPRODUCT(G74,K$6)</f>
        <v>#NAME?</v>
      </c>
      <c r="W75">
        <f t="shared" si="1138"/>
        <v>70</v>
      </c>
      <c r="X75">
        <f t="shared" si="1139"/>
        <v>-0.71226815780491604</v>
      </c>
      <c r="Y75" t="e">
        <f t="shared" si="1140"/>
        <v>#NAME?</v>
      </c>
      <c r="Z75" t="e">
        <f t="shared" si="1141"/>
        <v>#NAME?</v>
      </c>
      <c r="AA75" t="e">
        <f t="shared" si="1135"/>
        <v>#NAME?</v>
      </c>
      <c r="AB75" t="e">
        <f t="shared" si="1142"/>
        <v>#NAME?</v>
      </c>
      <c r="AC75" t="e">
        <f t="shared" si="1143"/>
        <v>#NAME?</v>
      </c>
      <c r="AE75">
        <f t="shared" ref="AE75:AE100" si="1148">AE74+1</f>
        <v>70</v>
      </c>
      <c r="AF75">
        <f t="shared" si="1137"/>
        <v>-0.71226815780491604</v>
      </c>
    </row>
    <row r="76">
      <c r="A76">
        <f t="shared" si="1144"/>
        <v>70</v>
      </c>
      <c r="B76">
        <v>-0.6172775165552018</v>
      </c>
      <c r="C76">
        <f t="shared" si="1145"/>
        <v>-0.71226815780491604</v>
      </c>
      <c r="E76">
        <f t="shared" si="1146"/>
        <v>71</v>
      </c>
      <c r="F76">
        <f t="shared" si="1136"/>
        <v>-1.2051923029937699</v>
      </c>
      <c r="G76" t="e">
        <f t="shared" si="1147"/>
        <v>#NAME?</v>
      </c>
      <c r="W76">
        <f t="shared" si="1138"/>
        <v>71</v>
      </c>
      <c r="X76">
        <f t="shared" si="1139"/>
        <v>-1.2051923029937699</v>
      </c>
      <c r="Y76" t="e">
        <f t="shared" si="1140"/>
        <v>#NAME?</v>
      </c>
      <c r="Z76" t="e">
        <f t="shared" si="1141"/>
        <v>#NAME?</v>
      </c>
      <c r="AA76" t="e">
        <f t="shared" si="1135"/>
        <v>#NAME?</v>
      </c>
      <c r="AB76" t="e">
        <f t="shared" si="1142"/>
        <v>#NAME?</v>
      </c>
      <c r="AC76" t="e">
        <f t="shared" si="1143"/>
        <v>#NAME?</v>
      </c>
      <c r="AE76">
        <f t="shared" si="1148"/>
        <v>71</v>
      </c>
      <c r="AF76">
        <f t="shared" si="1137"/>
        <v>-1.2051923029937699</v>
      </c>
    </row>
    <row r="77">
      <c r="A77">
        <f t="shared" si="1144"/>
        <v>71</v>
      </c>
      <c r="B77">
        <v>-0.83006009584136975</v>
      </c>
      <c r="C77">
        <f t="shared" si="1145"/>
        <v>-1.2051923029937699</v>
      </c>
      <c r="E77">
        <f t="shared" si="1146"/>
        <v>72</v>
      </c>
      <c r="F77">
        <f t="shared" si="1136"/>
        <v>-4.7834054672030002e-02</v>
      </c>
      <c r="G77" t="e">
        <f t="shared" si="1147"/>
        <v>#NAME?</v>
      </c>
      <c r="W77">
        <f t="shared" si="1138"/>
        <v>72</v>
      </c>
      <c r="X77">
        <f t="shared" si="1139"/>
        <v>-4.7834054672030002e-02</v>
      </c>
      <c r="Y77" t="e">
        <f t="shared" si="1140"/>
        <v>#NAME?</v>
      </c>
      <c r="Z77" t="e">
        <f t="shared" si="1141"/>
        <v>#NAME?</v>
      </c>
      <c r="AA77" t="e">
        <f t="shared" si="1135"/>
        <v>#NAME?</v>
      </c>
      <c r="AB77" t="e">
        <f t="shared" si="1142"/>
        <v>#NAME?</v>
      </c>
      <c r="AC77" t="e">
        <f t="shared" si="1143"/>
        <v>#NAME?</v>
      </c>
      <c r="AE77">
        <f t="shared" si="1148"/>
        <v>72</v>
      </c>
      <c r="AF77">
        <f t="shared" si="1137"/>
        <v>-4.7834054672030002e-02</v>
      </c>
    </row>
    <row r="78">
      <c r="A78">
        <f t="shared" si="1144"/>
        <v>72</v>
      </c>
      <c r="B78">
        <v>0.62978853825533521</v>
      </c>
      <c r="C78">
        <f t="shared" si="1145"/>
        <v>-4.7834054672030002e-02</v>
      </c>
      <c r="E78">
        <f t="shared" si="1146"/>
        <v>73</v>
      </c>
      <c r="F78">
        <f t="shared" si="1136"/>
        <v>-0.85348220666723384</v>
      </c>
      <c r="G78" t="e">
        <f t="shared" si="1147"/>
        <v>#NAME?</v>
      </c>
      <c r="W78">
        <f t="shared" si="1138"/>
        <v>73</v>
      </c>
      <c r="X78">
        <f t="shared" si="1139"/>
        <v>-0.85348220666723384</v>
      </c>
      <c r="Y78" t="e">
        <f t="shared" si="1140"/>
        <v>#NAME?</v>
      </c>
      <c r="Z78" t="e">
        <f t="shared" si="1141"/>
        <v>#NAME?</v>
      </c>
      <c r="AA78" t="e">
        <f t="shared" si="1135"/>
        <v>#NAME?</v>
      </c>
      <c r="AB78" t="e">
        <f t="shared" si="1142"/>
        <v>#NAME?</v>
      </c>
      <c r="AC78" t="e">
        <f t="shared" si="1143"/>
        <v>#NAME?</v>
      </c>
      <c r="AE78">
        <f t="shared" si="1148"/>
        <v>73</v>
      </c>
      <c r="AF78">
        <f t="shared" si="1137"/>
        <v>-0.85348220666723384</v>
      </c>
    </row>
    <row r="79">
      <c r="A79">
        <f t="shared" si="1144"/>
        <v>73</v>
      </c>
      <c r="B79">
        <v>-0.694040660745746</v>
      </c>
      <c r="C79">
        <f t="shared" si="1145"/>
        <v>-0.85348220666723384</v>
      </c>
      <c r="E79">
        <f t="shared" si="1146"/>
        <v>74</v>
      </c>
      <c r="F79">
        <f t="shared" si="1136"/>
        <v>-1.5879271771560699</v>
      </c>
      <c r="G79" t="e">
        <f t="shared" si="1147"/>
        <v>#NAME?</v>
      </c>
      <c r="W79">
        <f t="shared" si="1138"/>
        <v>74</v>
      </c>
      <c r="X79">
        <f t="shared" si="1139"/>
        <v>-1.5879271771560699</v>
      </c>
      <c r="Y79" t="e">
        <f t="shared" si="1140"/>
        <v>#NAME?</v>
      </c>
      <c r="Z79" t="e">
        <f t="shared" si="1141"/>
        <v>#NAME?</v>
      </c>
      <c r="AA79" t="e">
        <f t="shared" si="1135"/>
        <v>#NAME?</v>
      </c>
      <c r="AB79" t="e">
        <f t="shared" si="1142"/>
        <v>#NAME?</v>
      </c>
      <c r="AC79" t="e">
        <f t="shared" si="1143"/>
        <v>#NAME?</v>
      </c>
      <c r="AE79">
        <f t="shared" si="1148"/>
        <v>74</v>
      </c>
      <c r="AF79">
        <f t="shared" si="1137"/>
        <v>-1.5879271771560699</v>
      </c>
    </row>
    <row r="80">
      <c r="A80">
        <f t="shared" si="1144"/>
        <v>74</v>
      </c>
      <c r="B80">
        <v>-1.129297764638155</v>
      </c>
      <c r="C80">
        <f t="shared" si="1145"/>
        <v>-1.5879271771560699</v>
      </c>
      <c r="E80">
        <f t="shared" si="1146"/>
        <v>75</v>
      </c>
      <c r="F80">
        <f t="shared" si="1136"/>
        <v>-0.27615265935112998</v>
      </c>
      <c r="G80" t="e">
        <f t="shared" si="1147"/>
        <v>#NAME?</v>
      </c>
      <c r="W80">
        <f t="shared" si="1138"/>
        <v>75</v>
      </c>
      <c r="X80">
        <f t="shared" si="1139"/>
        <v>-0.27615265935112998</v>
      </c>
      <c r="Y80" t="e">
        <f t="shared" si="1140"/>
        <v>#NAME?</v>
      </c>
      <c r="Z80" t="e">
        <f t="shared" si="1141"/>
        <v>#NAME?</v>
      </c>
      <c r="AA80" t="e">
        <f t="shared" si="1135"/>
        <v>#NAME?</v>
      </c>
      <c r="AB80" t="e">
        <f t="shared" si="1142"/>
        <v>#NAME?</v>
      </c>
      <c r="AC80" t="e">
        <f t="shared" si="1143"/>
        <v>#NAME?</v>
      </c>
      <c r="AE80">
        <f t="shared" si="1148"/>
        <v>75</v>
      </c>
      <c r="AF80">
        <f t="shared" si="1137"/>
        <v>-0.27615265935112998</v>
      </c>
    </row>
    <row r="81">
      <c r="A81">
        <f t="shared" si="1144"/>
        <v>75</v>
      </c>
      <c r="B81">
        <v>0.6095368117304879</v>
      </c>
      <c r="C81">
        <f t="shared" si="1145"/>
        <v>-0.27615265935112998</v>
      </c>
      <c r="E81">
        <f t="shared" si="1146"/>
        <v>76</v>
      </c>
      <c r="F81">
        <f t="shared" si="1136"/>
        <v>-1.5512112466225201</v>
      </c>
      <c r="G81" t="e">
        <f t="shared" si="1147"/>
        <v>#NAME?</v>
      </c>
      <c r="W81">
        <f t="shared" si="1138"/>
        <v>76</v>
      </c>
      <c r="X81">
        <f t="shared" si="1139"/>
        <v>-1.5512112466225201</v>
      </c>
      <c r="Y81" t="e">
        <f t="shared" si="1140"/>
        <v>#NAME?</v>
      </c>
      <c r="Z81" t="e">
        <f t="shared" si="1141"/>
        <v>#NAME?</v>
      </c>
      <c r="AA81" t="e">
        <f t="shared" si="1135"/>
        <v>#NAME?</v>
      </c>
      <c r="AB81" t="e">
        <f t="shared" si="1142"/>
        <v>#NAME?</v>
      </c>
      <c r="AC81" t="e">
        <f t="shared" si="1143"/>
        <v>#NAME?</v>
      </c>
      <c r="AE81">
        <f t="shared" si="1148"/>
        <v>76</v>
      </c>
      <c r="AF81">
        <f t="shared" si="1137"/>
        <v>-1.5512112466225201</v>
      </c>
    </row>
    <row r="82">
      <c r="A82">
        <f t="shared" si="1144"/>
        <v>76</v>
      </c>
      <c r="B82">
        <v>-1.2359970227306327</v>
      </c>
      <c r="C82">
        <f t="shared" si="1145"/>
        <v>-1.5512112466225201</v>
      </c>
      <c r="E82">
        <f t="shared" si="1146"/>
        <v>77</v>
      </c>
      <c r="F82">
        <f t="shared" si="1136"/>
        <v>-0.69083037200228203</v>
      </c>
      <c r="G82" t="e">
        <f t="shared" si="1147"/>
        <v>#NAME?</v>
      </c>
      <c r="W82">
        <f t="shared" si="1138"/>
        <v>77</v>
      </c>
      <c r="X82">
        <f t="shared" si="1139"/>
        <v>-0.69083037200228203</v>
      </c>
      <c r="Y82" t="e">
        <f t="shared" si="1140"/>
        <v>#NAME?</v>
      </c>
      <c r="Z82" t="e">
        <f t="shared" si="1141"/>
        <v>#NAME?</v>
      </c>
      <c r="AA82" t="e">
        <f t="shared" si="1135"/>
        <v>#NAME?</v>
      </c>
      <c r="AB82" t="e">
        <f t="shared" si="1142"/>
        <v>#NAME?</v>
      </c>
      <c r="AC82" t="e">
        <f t="shared" si="1143"/>
        <v>#NAME?</v>
      </c>
      <c r="AE82">
        <f t="shared" si="1148"/>
        <v>77</v>
      </c>
      <c r="AF82">
        <f t="shared" si="1137"/>
        <v>-0.69083037200228203</v>
      </c>
    </row>
    <row r="83">
      <c r="A83">
        <f t="shared" si="1144"/>
        <v>77</v>
      </c>
      <c r="B83">
        <v>0.14781809608735161</v>
      </c>
      <c r="C83">
        <f t="shared" si="1145"/>
        <v>-0.69083037200228203</v>
      </c>
      <c r="E83">
        <f t="shared" si="1146"/>
        <v>78</v>
      </c>
      <c r="F83">
        <f t="shared" si="1136"/>
        <v>-0.37090492775934503</v>
      </c>
      <c r="G83" t="e">
        <f t="shared" si="1147"/>
        <v>#NAME?</v>
      </c>
      <c r="W83">
        <f t="shared" si="1138"/>
        <v>78</v>
      </c>
      <c r="X83">
        <f t="shared" si="1139"/>
        <v>-0.37090492775934503</v>
      </c>
      <c r="Y83" t="e">
        <f t="shared" si="1140"/>
        <v>#NAME?</v>
      </c>
      <c r="Z83" t="e">
        <f t="shared" si="1141"/>
        <v>#NAME?</v>
      </c>
      <c r="AA83" t="e">
        <f t="shared" si="1135"/>
        <v>#NAME?</v>
      </c>
      <c r="AB83" t="e">
        <f t="shared" si="1142"/>
        <v>#NAME?</v>
      </c>
      <c r="AC83" t="e">
        <f t="shared" si="1143"/>
        <v>#NAME?</v>
      </c>
      <c r="AE83">
        <f t="shared" si="1148"/>
        <v>78</v>
      </c>
      <c r="AF83">
        <f t="shared" si="1137"/>
        <v>-0.37090492775934503</v>
      </c>
    </row>
    <row r="84">
      <c r="A84">
        <f t="shared" si="1144"/>
        <v>78</v>
      </c>
      <c r="B84">
        <v>0.14223995185972241</v>
      </c>
      <c r="C84">
        <f t="shared" si="1145"/>
        <v>-0.37090492775934503</v>
      </c>
      <c r="E84">
        <f t="shared" si="1146"/>
        <v>79</v>
      </c>
      <c r="F84">
        <f t="shared" si="1136"/>
        <v>0.49875434212734299</v>
      </c>
      <c r="G84" t="e">
        <f t="shared" si="1147"/>
        <v>#NAME?</v>
      </c>
      <c r="W84">
        <f t="shared" si="1138"/>
        <v>79</v>
      </c>
      <c r="X84">
        <f t="shared" si="1139"/>
        <v>0.49875434212734299</v>
      </c>
      <c r="Y84" t="e">
        <f t="shared" si="1140"/>
        <v>#NAME?</v>
      </c>
      <c r="Z84" t="e">
        <f t="shared" si="1141"/>
        <v>#NAME?</v>
      </c>
      <c r="AA84" t="e">
        <f t="shared" si="1135"/>
        <v>#NAME?</v>
      </c>
      <c r="AB84" t="e">
        <f t="shared" si="1142"/>
        <v>#NAME?</v>
      </c>
      <c r="AC84" t="e">
        <f t="shared" si="1143"/>
        <v>#NAME?</v>
      </c>
      <c r="AE84">
        <f t="shared" si="1148"/>
        <v>79</v>
      </c>
      <c r="AF84">
        <f t="shared" si="1137"/>
        <v>0.49875434212734299</v>
      </c>
    </row>
    <row r="85">
      <c r="A85">
        <f t="shared" si="1144"/>
        <v>79</v>
      </c>
      <c r="B85">
        <v>0.78683578193082893</v>
      </c>
      <c r="C85">
        <f t="shared" si="1145"/>
        <v>0.49875434212734299</v>
      </c>
      <c r="E85">
        <f t="shared" si="1146"/>
        <v>80</v>
      </c>
      <c r="F85">
        <f t="shared" si="1136"/>
        <v>-1.86544396537019</v>
      </c>
      <c r="G85" t="e">
        <f t="shared" si="1147"/>
        <v>#NAME?</v>
      </c>
      <c r="W85">
        <f t="shared" si="1138"/>
        <v>80</v>
      </c>
      <c r="X85">
        <f t="shared" si="1139"/>
        <v>-1.86544396537019</v>
      </c>
      <c r="Y85" t="e">
        <f t="shared" si="1140"/>
        <v>#NAME?</v>
      </c>
      <c r="Z85" t="e">
        <f t="shared" si="1141"/>
        <v>#NAME?</v>
      </c>
      <c r="AA85" t="e">
        <f t="shared" si="1135"/>
        <v>#NAME?</v>
      </c>
      <c r="AB85" t="e">
        <f t="shared" si="1142"/>
        <v>#NAME?</v>
      </c>
      <c r="AC85" t="e">
        <f t="shared" si="1143"/>
        <v>#NAME?</v>
      </c>
      <c r="AE85">
        <f t="shared" si="1148"/>
        <v>80</v>
      </c>
      <c r="AF85">
        <f t="shared" si="1137"/>
        <v>-1.86544396537019</v>
      </c>
    </row>
    <row r="86">
      <c r="A86">
        <f t="shared" si="1144"/>
        <v>80</v>
      </c>
      <c r="B86">
        <v>-2.0572048484731567</v>
      </c>
      <c r="C86">
        <f t="shared" si="1145"/>
        <v>-1.86544396537019</v>
      </c>
      <c r="E86">
        <f t="shared" si="1146"/>
        <v>81</v>
      </c>
      <c r="F86">
        <f t="shared" si="1136"/>
        <v>-0.844816437633928</v>
      </c>
      <c r="G86" t="e">
        <f t="shared" si="1147"/>
        <v>#NAME?</v>
      </c>
      <c r="W86">
        <f t="shared" si="1138"/>
        <v>81</v>
      </c>
      <c r="X86">
        <f t="shared" si="1139"/>
        <v>-0.844816437633928</v>
      </c>
      <c r="Y86" t="e">
        <f t="shared" si="1140"/>
        <v>#NAME?</v>
      </c>
      <c r="Z86" t="e">
        <f t="shared" si="1141"/>
        <v>#NAME?</v>
      </c>
      <c r="AA86" t="e">
        <f t="shared" si="1135"/>
        <v>#NAME?</v>
      </c>
      <c r="AB86" t="e">
        <f t="shared" si="1142"/>
        <v>#NAME?</v>
      </c>
      <c r="AC86" t="e">
        <f t="shared" si="1143"/>
        <v>#NAME?</v>
      </c>
      <c r="AE86">
        <f t="shared" si="1148"/>
        <v>81</v>
      </c>
      <c r="AF86">
        <f t="shared" si="1137"/>
        <v>-0.844816437633928</v>
      </c>
    </row>
    <row r="87">
      <c r="A87">
        <f t="shared" si="1144"/>
        <v>81</v>
      </c>
      <c r="B87">
        <v>4.9553368430570136e-02</v>
      </c>
      <c r="C87">
        <f t="shared" si="1145"/>
        <v>-0.844816437633928</v>
      </c>
      <c r="E87">
        <f t="shared" si="1146"/>
        <v>82</v>
      </c>
      <c r="F87">
        <f t="shared" si="1136"/>
        <v>-2.0079145599241599</v>
      </c>
      <c r="G87" t="e">
        <f t="shared" si="1147"/>
        <v>#NAME?</v>
      </c>
      <c r="W87">
        <f t="shared" si="1138"/>
        <v>82</v>
      </c>
      <c r="X87">
        <f t="shared" si="1139"/>
        <v>-2.0079145599241599</v>
      </c>
      <c r="Y87" t="e">
        <f t="shared" si="1140"/>
        <v>#NAME?</v>
      </c>
      <c r="Z87" t="e">
        <f t="shared" si="1141"/>
        <v>#NAME?</v>
      </c>
      <c r="AA87" t="e">
        <f t="shared" si="1135"/>
        <v>#NAME?</v>
      </c>
      <c r="AB87" t="e">
        <f t="shared" si="1142"/>
        <v>#NAME?</v>
      </c>
      <c r="AC87" t="e">
        <f t="shared" si="1143"/>
        <v>#NAME?</v>
      </c>
      <c r="AE87">
        <f t="shared" si="1148"/>
        <v>82</v>
      </c>
      <c r="AF87">
        <f t="shared" si="1137"/>
        <v>-2.0079145599241599</v>
      </c>
    </row>
    <row r="88">
      <c r="A88">
        <f t="shared" si="1144"/>
        <v>82</v>
      </c>
      <c r="B88">
        <v>-1.4066323798943019</v>
      </c>
      <c r="C88">
        <f t="shared" si="1145"/>
        <v>-2.0079145599241599</v>
      </c>
      <c r="E88">
        <f t="shared" si="1146"/>
        <v>83</v>
      </c>
      <c r="F88">
        <f t="shared" si="1136"/>
        <v>0.43952699667075007</v>
      </c>
      <c r="G88" t="e">
        <f t="shared" si="1147"/>
        <v>#NAME?</v>
      </c>
      <c r="W88">
        <f t="shared" si="1138"/>
        <v>83</v>
      </c>
      <c r="X88">
        <f t="shared" si="1139"/>
        <v>0.43952699667075007</v>
      </c>
      <c r="Y88" t="e">
        <f t="shared" si="1140"/>
        <v>#NAME?</v>
      </c>
      <c r="Z88" t="e">
        <f t="shared" si="1141"/>
        <v>#NAME?</v>
      </c>
      <c r="AA88" t="e">
        <f t="shared" si="1135"/>
        <v>#NAME?</v>
      </c>
      <c r="AB88" t="e">
        <f t="shared" si="1142"/>
        <v>#NAME?</v>
      </c>
      <c r="AC88" t="e">
        <f t="shared" si="1143"/>
        <v>#NAME?</v>
      </c>
      <c r="AE88">
        <f t="shared" si="1148"/>
        <v>83</v>
      </c>
      <c r="AF88">
        <f t="shared" si="1137"/>
        <v>0.43952699667075007</v>
      </c>
    </row>
    <row r="89">
      <c r="A89">
        <f t="shared" si="1144"/>
        <v>83</v>
      </c>
      <c r="B89">
        <v>1.5637407126388041</v>
      </c>
      <c r="C89">
        <f t="shared" si="1145"/>
        <v>0.43952699667075007</v>
      </c>
      <c r="E89">
        <f t="shared" si="1146"/>
        <v>84</v>
      </c>
      <c r="F89">
        <f t="shared" si="1136"/>
        <v>1.17525272842291</v>
      </c>
      <c r="G89" t="e">
        <f t="shared" si="1147"/>
        <v>#NAME?</v>
      </c>
      <c r="W89">
        <f t="shared" si="1138"/>
        <v>84</v>
      </c>
      <c r="X89">
        <f t="shared" si="1139"/>
        <v>1.17525272842291</v>
      </c>
      <c r="Y89" t="e">
        <f t="shared" si="1140"/>
        <v>#NAME?</v>
      </c>
      <c r="Z89" t="e">
        <f t="shared" si="1141"/>
        <v>#NAME?</v>
      </c>
      <c r="AA89" t="e">
        <f t="shared" si="1135"/>
        <v>#NAME?</v>
      </c>
      <c r="AB89" t="e">
        <f t="shared" si="1142"/>
        <v>#NAME?</v>
      </c>
      <c r="AC89" t="e">
        <f t="shared" si="1143"/>
        <v>#NAME?</v>
      </c>
      <c r="AE89">
        <f t="shared" si="1148"/>
        <v>84</v>
      </c>
      <c r="AF89">
        <f t="shared" si="1137"/>
        <v>1.17525272842291</v>
      </c>
    </row>
    <row r="90">
      <c r="A90">
        <f t="shared" si="1144"/>
        <v>84</v>
      </c>
      <c r="B90">
        <v>1.1803319732811373</v>
      </c>
      <c r="C90">
        <f t="shared" si="1145"/>
        <v>1.17525272842291</v>
      </c>
      <c r="E90">
        <f t="shared" si="1146"/>
        <v>85</v>
      </c>
      <c r="F90">
        <f t="shared" si="1136"/>
        <v>-7.8496510935840993e-02</v>
      </c>
      <c r="G90" t="e">
        <f t="shared" si="1147"/>
        <v>#NAME?</v>
      </c>
      <c r="W90">
        <f t="shared" si="1138"/>
        <v>85</v>
      </c>
      <c r="X90">
        <f t="shared" si="1139"/>
        <v>-7.8496510935840993e-02</v>
      </c>
      <c r="Y90" t="e">
        <f t="shared" si="1140"/>
        <v>#NAME?</v>
      </c>
      <c r="Z90" t="e">
        <f t="shared" si="1141"/>
        <v>#NAME?</v>
      </c>
      <c r="AA90" t="e">
        <f t="shared" si="1135"/>
        <v>#NAME?</v>
      </c>
      <c r="AB90" t="e">
        <f t="shared" si="1142"/>
        <v>#NAME?</v>
      </c>
      <c r="AC90" t="e">
        <f t="shared" si="1143"/>
        <v>#NAME?</v>
      </c>
      <c r="AE90">
        <f t="shared" si="1148"/>
        <v>85</v>
      </c>
      <c r="AF90">
        <f t="shared" si="1137"/>
        <v>-7.8496510935840993e-02</v>
      </c>
    </row>
    <row r="91">
      <c r="A91">
        <f t="shared" si="1144"/>
        <v>85</v>
      </c>
      <c r="B91">
        <v>-0.6651070261756501</v>
      </c>
      <c r="C91">
        <f t="shared" si="1145"/>
        <v>-7.8496510935840993e-02</v>
      </c>
      <c r="E91">
        <f t="shared" si="1146"/>
        <v>86</v>
      </c>
      <c r="F91">
        <f t="shared" si="1136"/>
        <v>0.65301886392562003</v>
      </c>
      <c r="G91" t="e">
        <f t="shared" si="1147"/>
        <v>#NAME?</v>
      </c>
      <c r="W91">
        <f t="shared" si="1138"/>
        <v>86</v>
      </c>
      <c r="X91">
        <f t="shared" si="1139"/>
        <v>0.65301886392562003</v>
      </c>
      <c r="Y91" t="e">
        <f t="shared" si="1140"/>
        <v>#NAME?</v>
      </c>
      <c r="Z91" t="e">
        <f t="shared" si="1141"/>
        <v>#NAME?</v>
      </c>
      <c r="AA91" t="e">
        <f t="shared" si="1135"/>
        <v>#NAME?</v>
      </c>
      <c r="AB91" t="e">
        <f t="shared" si="1142"/>
        <v>#NAME?</v>
      </c>
      <c r="AC91" t="e">
        <f t="shared" si="1143"/>
        <v>#NAME?</v>
      </c>
      <c r="AE91">
        <f t="shared" si="1148"/>
        <v>86</v>
      </c>
      <c r="AF91">
        <f t="shared" si="1137"/>
        <v>0.65301886392562003</v>
      </c>
    </row>
    <row r="92">
      <c r="A92">
        <f t="shared" si="1144"/>
        <v>86</v>
      </c>
      <c r="B92">
        <v>0.57494501634557915</v>
      </c>
      <c r="C92">
        <f t="shared" si="1145"/>
        <v>0.65301886392562003</v>
      </c>
      <c r="E92">
        <f t="shared" si="1146"/>
        <v>87</v>
      </c>
      <c r="F92">
        <f t="shared" si="1136"/>
        <v>0.300965035960083</v>
      </c>
      <c r="G92" t="e">
        <f t="shared" si="1147"/>
        <v>#NAME?</v>
      </c>
      <c r="W92">
        <f t="shared" si="1138"/>
        <v>87</v>
      </c>
      <c r="X92">
        <f t="shared" si="1139"/>
        <v>0.300965035960083</v>
      </c>
      <c r="Y92" t="e">
        <f t="shared" si="1140"/>
        <v>#NAME?</v>
      </c>
      <c r="Z92" t="e">
        <f t="shared" si="1141"/>
        <v>#NAME?</v>
      </c>
      <c r="AA92" t="e">
        <f t="shared" si="1135"/>
        <v>#NAME?</v>
      </c>
      <c r="AB92" t="e">
        <f t="shared" si="1142"/>
        <v>#NAME?</v>
      </c>
      <c r="AC92" t="e">
        <f t="shared" si="1143"/>
        <v>#NAME?</v>
      </c>
      <c r="AE92">
        <f t="shared" si="1148"/>
        <v>87</v>
      </c>
      <c r="AF92">
        <f t="shared" si="1137"/>
        <v>0.300965035960083</v>
      </c>
    </row>
    <row r="93">
      <c r="A93">
        <f t="shared" si="1144"/>
        <v>87</v>
      </c>
      <c r="B93">
        <v>-4.1159165518735163e-02</v>
      </c>
      <c r="C93">
        <f t="shared" si="1145"/>
        <v>0.300965035960083</v>
      </c>
      <c r="E93">
        <f t="shared" si="1146"/>
        <v>88</v>
      </c>
      <c r="F93">
        <f t="shared" si="1136"/>
        <v>-0.67728835795931197</v>
      </c>
      <c r="G93" t="e">
        <f t="shared" si="1147"/>
        <v>#NAME?</v>
      </c>
      <c r="W93">
        <f t="shared" si="1138"/>
        <v>88</v>
      </c>
      <c r="X93">
        <f t="shared" si="1139"/>
        <v>-0.67728835795931197</v>
      </c>
      <c r="Y93" t="e">
        <f t="shared" si="1140"/>
        <v>#NAME?</v>
      </c>
      <c r="Z93" t="e">
        <f t="shared" si="1141"/>
        <v>#NAME?</v>
      </c>
      <c r="AA93" t="e">
        <f t="shared" si="1135"/>
        <v>#NAME?</v>
      </c>
      <c r="AB93" t="e">
        <f t="shared" si="1142"/>
        <v>#NAME?</v>
      </c>
      <c r="AC93" t="e">
        <f t="shared" si="1143"/>
        <v>#NAME?</v>
      </c>
      <c r="AE93">
        <f t="shared" si="1148"/>
        <v>88</v>
      </c>
      <c r="AF93">
        <f t="shared" si="1137"/>
        <v>-0.67728835795931197</v>
      </c>
    </row>
    <row r="94">
      <c r="A94">
        <f t="shared" si="1144"/>
        <v>88</v>
      </c>
      <c r="B94">
        <v>-0.89619571623511651</v>
      </c>
      <c r="C94">
        <f t="shared" si="1145"/>
        <v>-0.67728835795931197</v>
      </c>
      <c r="E94">
        <f t="shared" si="1146"/>
        <v>89</v>
      </c>
      <c r="F94">
        <f t="shared" si="1136"/>
        <v>1.20849689798216</v>
      </c>
      <c r="G94" t="e">
        <f t="shared" si="1147"/>
        <v>#NAME?</v>
      </c>
      <c r="W94">
        <f t="shared" si="1138"/>
        <v>89</v>
      </c>
      <c r="X94">
        <f t="shared" si="1139"/>
        <v>1.20849689798216</v>
      </c>
      <c r="Y94" t="e">
        <f t="shared" si="1140"/>
        <v>#NAME?</v>
      </c>
      <c r="Z94" t="e">
        <f t="shared" si="1141"/>
        <v>#NAME?</v>
      </c>
      <c r="AA94" t="e">
        <f t="shared" si="1135"/>
        <v>#NAME?</v>
      </c>
      <c r="AB94" t="e">
        <f t="shared" si="1142"/>
        <v>#NAME?</v>
      </c>
      <c r="AC94" t="e">
        <f t="shared" si="1143"/>
        <v>#NAME?</v>
      </c>
      <c r="AE94">
        <f t="shared" si="1148"/>
        <v>89</v>
      </c>
      <c r="AF94">
        <f t="shared" si="1137"/>
        <v>1.20849689798216</v>
      </c>
    </row>
    <row r="95">
      <c r="A95">
        <f t="shared" si="1144"/>
        <v>89</v>
      </c>
      <c r="B95">
        <v>1.503359605306662</v>
      </c>
      <c r="C95">
        <f t="shared" si="1145"/>
        <v>1.20849689798216</v>
      </c>
      <c r="E95">
        <f t="shared" si="1146"/>
        <v>90</v>
      </c>
      <c r="F95">
        <f t="shared" si="1136"/>
        <v>-0.16628774878482799</v>
      </c>
      <c r="G95" t="e">
        <f t="shared" si="1147"/>
        <v>#NAME?</v>
      </c>
      <c r="W95">
        <f t="shared" si="1138"/>
        <v>90</v>
      </c>
      <c r="X95">
        <f t="shared" si="1139"/>
        <v>-0.16628774878482799</v>
      </c>
      <c r="Y95" t="e">
        <f t="shared" si="1140"/>
        <v>#NAME?</v>
      </c>
      <c r="Z95" t="e">
        <f t="shared" si="1141"/>
        <v>#NAME?</v>
      </c>
      <c r="AA95" t="e">
        <f t="shared" si="1135"/>
        <v>#NAME?</v>
      </c>
      <c r="AB95" t="e">
        <f t="shared" si="1142"/>
        <v>#NAME?</v>
      </c>
      <c r="AC95" t="e">
        <f t="shared" si="1143"/>
        <v>#NAME?</v>
      </c>
      <c r="AE95">
        <f t="shared" si="1148"/>
        <v>90</v>
      </c>
      <c r="AF95">
        <f t="shared" si="1137"/>
        <v>-0.16628774878482799</v>
      </c>
    </row>
    <row r="96">
      <c r="A96">
        <f t="shared" si="1144"/>
        <v>90</v>
      </c>
      <c r="B96">
        <v>-0.71156365631100771</v>
      </c>
      <c r="C96">
        <f t="shared" si="1145"/>
        <v>-0.16628774878482799</v>
      </c>
      <c r="E96">
        <f t="shared" si="1146"/>
        <v>91</v>
      </c>
      <c r="F96">
        <f t="shared" si="1136"/>
        <v>1.00922890436721</v>
      </c>
      <c r="G96" t="e">
        <f t="shared" si="1147"/>
        <v>#NAME?</v>
      </c>
      <c r="W96">
        <f t="shared" si="1138"/>
        <v>91</v>
      </c>
      <c r="X96">
        <f t="shared" si="1139"/>
        <v>1.00922890436721</v>
      </c>
      <c r="Y96" t="e">
        <f t="shared" si="1140"/>
        <v>#NAME?</v>
      </c>
      <c r="Z96" t="e">
        <f t="shared" si="1141"/>
        <v>#NAME?</v>
      </c>
      <c r="AA96" t="e">
        <f t="shared" si="1135"/>
        <v>#NAME?</v>
      </c>
      <c r="AB96" t="e">
        <f t="shared" si="1142"/>
        <v>#NAME?</v>
      </c>
      <c r="AC96" t="e">
        <f t="shared" si="1143"/>
        <v>#NAME?</v>
      </c>
      <c r="AE96">
        <f t="shared" si="1148"/>
        <v>91</v>
      </c>
      <c r="AF96">
        <f t="shared" si="1137"/>
        <v>1.00922890436721</v>
      </c>
    </row>
    <row r="97">
      <c r="A97">
        <f t="shared" si="1144"/>
        <v>91</v>
      </c>
      <c r="B97">
        <v>0.98331759725438272</v>
      </c>
      <c r="C97">
        <f t="shared" si="1145"/>
        <v>1.00922890436721</v>
      </c>
      <c r="E97">
        <f t="shared" si="1146"/>
        <v>92</v>
      </c>
      <c r="F97">
        <f t="shared" si="1136"/>
        <v>-0.32778833574077798</v>
      </c>
      <c r="G97" t="e">
        <f t="shared" si="1147"/>
        <v>#NAME?</v>
      </c>
      <c r="W97">
        <f t="shared" si="1138"/>
        <v>92</v>
      </c>
      <c r="X97">
        <f t="shared" si="1139"/>
        <v>-0.32778833574077798</v>
      </c>
      <c r="Y97" t="e">
        <f t="shared" si="1140"/>
        <v>#NAME?</v>
      </c>
      <c r="Z97" t="e">
        <f t="shared" si="1141"/>
        <v>#NAME?</v>
      </c>
      <c r="AA97" t="e">
        <f t="shared" si="1135"/>
        <v>#NAME?</v>
      </c>
      <c r="AB97" t="e">
        <f t="shared" si="1142"/>
        <v>#NAME?</v>
      </c>
      <c r="AC97" t="e">
        <f t="shared" si="1143"/>
        <v>#NAME?</v>
      </c>
      <c r="AE97">
        <f t="shared" si="1148"/>
        <v>92</v>
      </c>
      <c r="AF97">
        <f t="shared" si="1137"/>
        <v>-0.32778833574077798</v>
      </c>
    </row>
    <row r="98">
      <c r="A98">
        <f t="shared" si="1144"/>
        <v>92</v>
      </c>
      <c r="B98">
        <v>-0.83758504934694744</v>
      </c>
      <c r="C98">
        <f t="shared" si="1145"/>
        <v>-0.32778833574077798</v>
      </c>
      <c r="E98">
        <f t="shared" si="1146"/>
        <v>93</v>
      </c>
      <c r="F98">
        <f t="shared" si="1136"/>
        <v>-1.9779448345737001</v>
      </c>
      <c r="G98" t="e">
        <f t="shared" si="1147"/>
        <v>#NAME?</v>
      </c>
      <c r="W98">
        <f t="shared" si="1138"/>
        <v>93</v>
      </c>
      <c r="X98">
        <f t="shared" si="1139"/>
        <v>-1.9779448345737001</v>
      </c>
      <c r="Y98" t="e">
        <f t="shared" si="1140"/>
        <v>#NAME?</v>
      </c>
      <c r="Z98" t="e">
        <f t="shared" si="1141"/>
        <v>#NAME?</v>
      </c>
      <c r="AA98" t="e">
        <f t="shared" si="1135"/>
        <v>#NAME?</v>
      </c>
      <c r="AB98" t="e">
        <f t="shared" si="1142"/>
        <v>#NAME?</v>
      </c>
      <c r="AC98" t="e">
        <f t="shared" si="1143"/>
        <v>#NAME?</v>
      </c>
      <c r="AE98">
        <f t="shared" si="1148"/>
        <v>93</v>
      </c>
      <c r="AF98">
        <f t="shared" si="1137"/>
        <v>-1.9779448345737001</v>
      </c>
    </row>
    <row r="99">
      <c r="A99">
        <f t="shared" si="1144"/>
        <v>93</v>
      </c>
      <c r="B99">
        <v>-1.916010009424536</v>
      </c>
      <c r="C99">
        <f t="shared" si="1145"/>
        <v>-1.9779448345737001</v>
      </c>
      <c r="E99">
        <f t="shared" si="1146"/>
        <v>94</v>
      </c>
      <c r="F99">
        <f t="shared" ref="F99:F110" si="1149">C100</f>
        <v>-0.89983951329169209</v>
      </c>
      <c r="G99" t="e">
        <f t="shared" si="1147"/>
        <v>#NAME?</v>
      </c>
      <c r="W99">
        <f t="shared" si="1138"/>
        <v>94</v>
      </c>
      <c r="X99">
        <f t="shared" si="1139"/>
        <v>-0.89983951329169209</v>
      </c>
      <c r="Y99" t="e">
        <f t="shared" si="1140"/>
        <v>#NAME?</v>
      </c>
      <c r="Z99" t="e">
        <f t="shared" si="1141"/>
        <v>#NAME?</v>
      </c>
      <c r="AA99" t="e">
        <f t="shared" si="1135"/>
        <v>#NAME?</v>
      </c>
      <c r="AB99" t="e">
        <f t="shared" si="1142"/>
        <v>#NAME?</v>
      </c>
      <c r="AC99" t="e">
        <f t="shared" si="1143"/>
        <v>#NAME?</v>
      </c>
      <c r="AE99">
        <f t="shared" si="1148"/>
        <v>94</v>
      </c>
      <c r="AF99">
        <f t="shared" ref="AF99:AF110" si="1150">C100</f>
        <v>-0.89983951329169209</v>
      </c>
    </row>
    <row r="100">
      <c r="A100">
        <f t="shared" si="1144"/>
        <v>94</v>
      </c>
      <c r="B100">
        <v>0.10151986902498664</v>
      </c>
      <c r="C100">
        <f>0.7*C99+B100-0.2*B99</f>
        <v>-0.89983951329169209</v>
      </c>
      <c r="E100">
        <f t="shared" si="1146"/>
        <v>95</v>
      </c>
      <c r="F100">
        <f t="shared" si="1149"/>
        <v>0.29356356983196702</v>
      </c>
      <c r="G100" t="e">
        <f>F100-SUMPRODUCT(F99,J$6)-SUMPRODUCT(G99,K$6)</f>
        <v>#NAME?</v>
      </c>
      <c r="W100">
        <f t="shared" ref="W100:W110" si="1151">E100</f>
        <v>95</v>
      </c>
      <c r="X100">
        <f t="shared" ref="X100:X110" si="1152">F100</f>
        <v>0.29356356983196702</v>
      </c>
      <c r="Y100" t="e">
        <f t="shared" ref="Y100:Y110" si="1153">G100</f>
        <v>#NAME?</v>
      </c>
      <c r="Z100" t="e">
        <f t="shared" ref="Z100:Z110" si="1154">X100-Y100</f>
        <v>#NAME?</v>
      </c>
      <c r="AA100" t="e">
        <f t="shared" si="1135"/>
        <v>#NAME?</v>
      </c>
      <c r="AB100" t="e">
        <f t="shared" ref="AB100:AB115" si="1155">Z100-NORMSINV(1-AA$4/2)*AA100</f>
        <v>#NAME?</v>
      </c>
      <c r="AC100" t="e">
        <f t="shared" ref="AC100:AC115" si="1156">Z100+NORMSINV(1-AA$4/2)*AA100</f>
        <v>#NAME?</v>
      </c>
      <c r="AE100">
        <f t="shared" si="1148"/>
        <v>95</v>
      </c>
      <c r="AF100">
        <f t="shared" si="1150"/>
        <v>0.29356356983196702</v>
      </c>
    </row>
    <row r="101">
      <c r="A101">
        <f t="shared" ref="A101:A111" si="1157">A100+1</f>
        <v>95</v>
      </c>
      <c r="B101">
        <v>0.94375520294114756</v>
      </c>
      <c r="C101">
        <f t="shared" ref="C101:C111" si="1158">0.7*C100+B101-0.2*B100</f>
        <v>0.29356356983196702</v>
      </c>
      <c r="E101">
        <f t="shared" ref="E101:E110" si="1159">E100+1</f>
        <v>96</v>
      </c>
      <c r="F101">
        <f t="shared" si="1149"/>
        <v>0.87413789235646999</v>
      </c>
      <c r="G101" t="e">
        <f t="shared" ref="G101:G110" si="1160">F101-SUMPRODUCT(F100,J$6)-SUMPRODUCT(G100,K$6)</f>
        <v>#NAME?</v>
      </c>
      <c r="W101">
        <f t="shared" si="1151"/>
        <v>96</v>
      </c>
      <c r="X101">
        <f t="shared" si="1152"/>
        <v>0.87413789235646999</v>
      </c>
      <c r="Y101" t="e">
        <f t="shared" si="1153"/>
        <v>#NAME?</v>
      </c>
      <c r="Z101" t="e">
        <f t="shared" si="1154"/>
        <v>#NAME?</v>
      </c>
      <c r="AA101" t="e">
        <f t="shared" si="1135"/>
        <v>#NAME?</v>
      </c>
      <c r="AB101" t="e">
        <f t="shared" si="1155"/>
        <v>#NAME?</v>
      </c>
      <c r="AC101" t="e">
        <f t="shared" si="1156"/>
        <v>#NAME?</v>
      </c>
      <c r="AE101">
        <f t="shared" ref="AE101:AE115" si="1161">AE100+1</f>
        <v>96</v>
      </c>
      <c r="AF101">
        <f t="shared" si="1150"/>
        <v>0.87413789235646999</v>
      </c>
    </row>
    <row r="102">
      <c r="A102">
        <f t="shared" si="1157"/>
        <v>96</v>
      </c>
      <c r="B102">
        <v>0.85739443406232341</v>
      </c>
      <c r="C102">
        <f t="shared" si="1158"/>
        <v>0.87413789235646999</v>
      </c>
      <c r="E102">
        <f t="shared" si="1159"/>
        <v>97</v>
      </c>
      <c r="F102">
        <f t="shared" si="1149"/>
        <v>1.0485889303820799</v>
      </c>
      <c r="G102" t="e">
        <f t="shared" si="1160"/>
        <v>#NAME?</v>
      </c>
      <c r="W102">
        <f t="shared" si="1151"/>
        <v>97</v>
      </c>
      <c r="X102">
        <f t="shared" si="1152"/>
        <v>1.0485889303820799</v>
      </c>
      <c r="Y102" t="e">
        <f t="shared" si="1153"/>
        <v>#NAME?</v>
      </c>
      <c r="Z102" t="e">
        <f t="shared" si="1154"/>
        <v>#NAME?</v>
      </c>
      <c r="AA102" t="e">
        <f t="shared" si="1135"/>
        <v>#NAME?</v>
      </c>
      <c r="AB102" t="e">
        <f t="shared" si="1155"/>
        <v>#NAME?</v>
      </c>
      <c r="AC102" t="e">
        <f t="shared" si="1156"/>
        <v>#NAME?</v>
      </c>
      <c r="AE102">
        <f t="shared" si="1161"/>
        <v>97</v>
      </c>
      <c r="AF102">
        <f t="shared" si="1150"/>
        <v>1.0485889303820799</v>
      </c>
    </row>
    <row r="103">
      <c r="A103">
        <f t="shared" si="1157"/>
        <v>97</v>
      </c>
      <c r="B103">
        <v>0.60817129254501401</v>
      </c>
      <c r="C103">
        <f t="shared" si="1158"/>
        <v>1.0485889303820799</v>
      </c>
      <c r="E103">
        <f t="shared" si="1159"/>
        <v>98</v>
      </c>
      <c r="F103">
        <f t="shared" si="1149"/>
        <v>0.37710360840585599</v>
      </c>
      <c r="G103" t="e">
        <f t="shared" si="1160"/>
        <v>#NAME?</v>
      </c>
      <c r="W103">
        <f t="shared" si="1151"/>
        <v>98</v>
      </c>
      <c r="X103">
        <f t="shared" si="1152"/>
        <v>0.37710360840585599</v>
      </c>
      <c r="Y103" t="e">
        <f t="shared" si="1153"/>
        <v>#NAME?</v>
      </c>
      <c r="Z103" t="e">
        <f t="shared" si="1154"/>
        <v>#NAME?</v>
      </c>
      <c r="AA103" t="e">
        <f t="shared" si="1135"/>
        <v>#NAME?</v>
      </c>
      <c r="AB103" t="e">
        <f t="shared" si="1155"/>
        <v>#NAME?</v>
      </c>
      <c r="AC103" t="e">
        <f t="shared" si="1156"/>
        <v>#NAME?</v>
      </c>
      <c r="AE103">
        <f t="shared" si="1161"/>
        <v>98</v>
      </c>
      <c r="AF103">
        <f t="shared" si="1150"/>
        <v>0.37710360840585599</v>
      </c>
    </row>
    <row r="104">
      <c r="A104">
        <f t="shared" si="1157"/>
        <v>98</v>
      </c>
      <c r="B104">
        <v>-0.23527438435259729</v>
      </c>
      <c r="C104">
        <f t="shared" si="1158"/>
        <v>0.37710360840585599</v>
      </c>
      <c r="E104">
        <f t="shared" si="1159"/>
        <v>99</v>
      </c>
      <c r="F104">
        <f t="shared" si="1149"/>
        <v>1.10073340647542</v>
      </c>
      <c r="G104" t="e">
        <f t="shared" si="1160"/>
        <v>#NAME?</v>
      </c>
      <c r="W104">
        <f t="shared" si="1151"/>
        <v>99</v>
      </c>
      <c r="X104">
        <f t="shared" si="1152"/>
        <v>1.10073340647542</v>
      </c>
      <c r="Y104" t="e">
        <f t="shared" si="1153"/>
        <v>#NAME?</v>
      </c>
      <c r="Z104" t="e">
        <f t="shared" si="1154"/>
        <v>#NAME?</v>
      </c>
      <c r="AA104" t="e">
        <f t="shared" si="1135"/>
        <v>#NAME?</v>
      </c>
      <c r="AB104" t="e">
        <f t="shared" si="1155"/>
        <v>#NAME?</v>
      </c>
      <c r="AC104" t="e">
        <f t="shared" si="1156"/>
        <v>#NAME?</v>
      </c>
      <c r="AE104">
        <f t="shared" si="1161"/>
        <v>99</v>
      </c>
      <c r="AF104">
        <f t="shared" si="1150"/>
        <v>1.10073340647542</v>
      </c>
    </row>
    <row r="105">
      <c r="A105">
        <f t="shared" si="1157"/>
        <v>99</v>
      </c>
      <c r="B105">
        <v>0.78970600372079691</v>
      </c>
      <c r="C105">
        <f t="shared" si="1158"/>
        <v>1.10073340647542</v>
      </c>
      <c r="E105">
        <f t="shared" si="1159"/>
        <v>100</v>
      </c>
      <c r="F105">
        <f t="shared" si="1149"/>
        <v>-0.44354331022855498</v>
      </c>
      <c r="G105" t="e">
        <f t="shared" si="1160"/>
        <v>#NAME?</v>
      </c>
      <c r="W105">
        <f t="shared" si="1151"/>
        <v>100</v>
      </c>
      <c r="X105">
        <f t="shared" si="1152"/>
        <v>-0.44354331022855498</v>
      </c>
      <c r="Y105" t="e">
        <f t="shared" si="1153"/>
        <v>#NAME?</v>
      </c>
      <c r="Z105" t="e">
        <f t="shared" si="1154"/>
        <v>#NAME?</v>
      </c>
      <c r="AA105" t="e">
        <f t="shared" si="1135"/>
        <v>#NAME?</v>
      </c>
      <c r="AB105" t="e">
        <f t="shared" si="1155"/>
        <v>#NAME?</v>
      </c>
      <c r="AC105" t="e">
        <f t="shared" si="1156"/>
        <v>#NAME?</v>
      </c>
      <c r="AE105">
        <f t="shared" si="1161"/>
        <v>100</v>
      </c>
      <c r="AF105">
        <f t="shared" si="1150"/>
        <v>-0.44354331022855498</v>
      </c>
    </row>
    <row r="106">
      <c r="A106">
        <f t="shared" si="1157"/>
        <v>100</v>
      </c>
      <c r="B106">
        <v>-1.0561154940171853</v>
      </c>
      <c r="C106">
        <f t="shared" si="1158"/>
        <v>-0.44354331022855498</v>
      </c>
      <c r="E106">
        <f t="shared" si="1159"/>
        <v>101</v>
      </c>
      <c r="F106">
        <f t="shared" si="1149"/>
        <v>0.12661201219791701</v>
      </c>
      <c r="G106" t="e">
        <f t="shared" si="1160"/>
        <v>#NAME?</v>
      </c>
      <c r="W106">
        <f t="shared" si="1151"/>
        <v>101</v>
      </c>
      <c r="X106">
        <f t="shared" si="1152"/>
        <v>0.12661201219791701</v>
      </c>
      <c r="Y106" t="e">
        <f t="shared" si="1153"/>
        <v>#NAME?</v>
      </c>
      <c r="Z106" t="e">
        <f t="shared" si="1154"/>
        <v>#NAME?</v>
      </c>
      <c r="AA106" t="e">
        <f t="shared" si="1135"/>
        <v>#NAME?</v>
      </c>
      <c r="AB106" t="e">
        <f t="shared" si="1155"/>
        <v>#NAME?</v>
      </c>
      <c r="AC106" t="e">
        <f t="shared" si="1156"/>
        <v>#NAME?</v>
      </c>
      <c r="AE106">
        <f t="shared" si="1161"/>
        <v>101</v>
      </c>
      <c r="AF106">
        <f t="shared" si="1150"/>
        <v>0.12661201219791701</v>
      </c>
    </row>
    <row r="107">
      <c r="A107">
        <f t="shared" si="1157"/>
        <v>101</v>
      </c>
      <c r="B107">
        <v>0.22586923055446756</v>
      </c>
      <c r="C107">
        <f t="shared" si="1158"/>
        <v>0.12661201219791701</v>
      </c>
      <c r="E107">
        <f t="shared" si="1159"/>
        <v>102</v>
      </c>
      <c r="F107">
        <f t="shared" si="1149"/>
        <v>0.61865679971875598</v>
      </c>
      <c r="G107" t="e">
        <f t="shared" si="1160"/>
        <v>#NAME?</v>
      </c>
      <c r="W107">
        <f t="shared" si="1151"/>
        <v>102</v>
      </c>
      <c r="X107">
        <f t="shared" si="1152"/>
        <v>0.61865679971875598</v>
      </c>
      <c r="Y107" t="e">
        <f t="shared" si="1153"/>
        <v>#NAME?</v>
      </c>
      <c r="Z107" t="e">
        <f t="shared" si="1154"/>
        <v>#NAME?</v>
      </c>
      <c r="AA107" t="e">
        <f t="shared" si="1135"/>
        <v>#NAME?</v>
      </c>
      <c r="AB107" t="e">
        <f t="shared" si="1155"/>
        <v>#NAME?</v>
      </c>
      <c r="AC107" t="e">
        <f t="shared" si="1156"/>
        <v>#NAME?</v>
      </c>
      <c r="AE107">
        <f t="shared" si="1161"/>
        <v>102</v>
      </c>
      <c r="AF107">
        <f t="shared" si="1150"/>
        <v>0.61865679971875598</v>
      </c>
    </row>
    <row r="108">
      <c r="A108">
        <f t="shared" si="1157"/>
        <v>102</v>
      </c>
      <c r="B108">
        <v>0.57520223729110798</v>
      </c>
      <c r="C108">
        <f t="shared" si="1158"/>
        <v>0.61865679971875598</v>
      </c>
      <c r="E108">
        <f t="shared" si="1159"/>
        <v>103</v>
      </c>
      <c r="F108">
        <f t="shared" si="1149"/>
        <v>1.3693776475136801</v>
      </c>
      <c r="G108" t="e">
        <f t="shared" si="1160"/>
        <v>#NAME?</v>
      </c>
      <c r="W108">
        <f t="shared" si="1151"/>
        <v>103</v>
      </c>
      <c r="X108">
        <f t="shared" si="1152"/>
        <v>1.3693776475136801</v>
      </c>
      <c r="Y108" t="e">
        <f t="shared" si="1153"/>
        <v>#NAME?</v>
      </c>
      <c r="Z108" t="e">
        <f t="shared" si="1154"/>
        <v>#NAME?</v>
      </c>
      <c r="AA108" t="e">
        <f t="shared" si="1135"/>
        <v>#NAME?</v>
      </c>
      <c r="AB108" t="e">
        <f t="shared" si="1155"/>
        <v>#NAME?</v>
      </c>
      <c r="AC108" t="e">
        <f t="shared" si="1156"/>
        <v>#NAME?</v>
      </c>
      <c r="AE108">
        <f t="shared" si="1161"/>
        <v>103</v>
      </c>
      <c r="AF108">
        <f t="shared" si="1150"/>
        <v>1.3693776475136801</v>
      </c>
    </row>
    <row r="109">
      <c r="A109">
        <f t="shared" si="1157"/>
        <v>103</v>
      </c>
      <c r="B109">
        <v>1.0513583351687668</v>
      </c>
      <c r="C109">
        <f t="shared" si="1158"/>
        <v>1.3693776475136801</v>
      </c>
      <c r="E109">
        <f t="shared" si="1159"/>
        <v>104</v>
      </c>
      <c r="F109">
        <f t="shared" si="1149"/>
        <v>0.761442220235378</v>
      </c>
      <c r="G109" t="e">
        <f t="shared" si="1160"/>
        <v>#NAME?</v>
      </c>
      <c r="W109">
        <f t="shared" si="1151"/>
        <v>104</v>
      </c>
      <c r="X109">
        <f t="shared" si="1152"/>
        <v>0.761442220235378</v>
      </c>
      <c r="Y109" t="e">
        <f t="shared" si="1153"/>
        <v>#NAME?</v>
      </c>
      <c r="Z109" t="e">
        <f t="shared" si="1154"/>
        <v>#NAME?</v>
      </c>
      <c r="AA109" t="e">
        <f t="shared" si="1135"/>
        <v>#NAME?</v>
      </c>
      <c r="AB109" t="e">
        <f t="shared" si="1155"/>
        <v>#NAME?</v>
      </c>
      <c r="AC109" t="e">
        <f t="shared" si="1156"/>
        <v>#NAME?</v>
      </c>
      <c r="AE109">
        <f t="shared" si="1161"/>
        <v>104</v>
      </c>
      <c r="AF109">
        <f t="shared" si="1150"/>
        <v>0.761442220235378</v>
      </c>
    </row>
    <row r="110">
      <c r="A110">
        <f t="shared" si="1157"/>
        <v>104</v>
      </c>
      <c r="B110">
        <v>1.3149534009556495e-02</v>
      </c>
      <c r="C110">
        <f t="shared" si="1158"/>
        <v>0.761442220235378</v>
      </c>
      <c r="E110" s="14">
        <f t="shared" si="1159"/>
        <v>105</v>
      </c>
      <c r="F110" s="14">
        <f t="shared" si="1149"/>
        <v>1.9547650554829701</v>
      </c>
      <c r="G110" s="14" t="e">
        <f t="shared" si="1160"/>
        <v>#NAME?</v>
      </c>
      <c r="W110">
        <f t="shared" si="1151"/>
        <v>105</v>
      </c>
      <c r="X110">
        <f t="shared" si="1152"/>
        <v>1.9547650554829701</v>
      </c>
      <c r="Y110" t="e">
        <f t="shared" si="1153"/>
        <v>#NAME?</v>
      </c>
      <c r="Z110" t="e">
        <f t="shared" si="1154"/>
        <v>#NAME?</v>
      </c>
      <c r="AA110" t="e">
        <f t="shared" si="1135"/>
        <v>#NAME?</v>
      </c>
      <c r="AB110" t="e">
        <f t="shared" si="1155"/>
        <v>#NAME?</v>
      </c>
      <c r="AC110" t="e">
        <f t="shared" si="1156"/>
        <v>#NAME?</v>
      </c>
      <c r="AE110" s="14">
        <f t="shared" si="1161"/>
        <v>105</v>
      </c>
      <c r="AF110" s="14">
        <f t="shared" si="1150"/>
        <v>1.9547650554829701</v>
      </c>
    </row>
    <row r="111">
      <c r="A111">
        <f t="shared" si="1157"/>
        <v>105</v>
      </c>
      <c r="B111" s="14">
        <v>1.4243854081201066</v>
      </c>
      <c r="C111" s="14">
        <f t="shared" si="1158"/>
        <v>1.9547650554829701</v>
      </c>
      <c r="W111">
        <f t="shared" ref="W111:W115" si="1162">W110+1</f>
        <v>106</v>
      </c>
      <c r="Z111" t="e">
        <f>SUMPRODUCT(X110,J$6)+SUMPRODUCT(Y110,K$6)</f>
        <v>#NAME?</v>
      </c>
      <c r="AA111" t="e">
        <f t="shared" ref="AA111:AA115" si="1163">K$16*SQRT(SUMSQ(N$16:N16))</f>
        <v>#NAME?</v>
      </c>
      <c r="AB111" t="e">
        <f t="shared" si="1155"/>
        <v>#NAME?</v>
      </c>
      <c r="AC111" t="e">
        <f t="shared" si="1156"/>
        <v>#NAME?</v>
      </c>
      <c r="AE111">
        <f t="shared" si="1161"/>
        <v>106</v>
      </c>
      <c r="AF111" t="e">
        <f t="shared" ref="AF111:AF115" si="1164">Z111</f>
        <v>#NAME?</v>
      </c>
    </row>
    <row r="112">
      <c r="W112">
        <f t="shared" si="1162"/>
        <v>107</v>
      </c>
      <c r="Z112" t="e">
        <f>SUMPRODUCT(Z111,J6)</f>
        <v>#NAME?</v>
      </c>
      <c r="AA112" t="e">
        <f t="shared" si="1163"/>
        <v>#NAME?</v>
      </c>
      <c r="AB112" t="e">
        <f t="shared" si="1155"/>
        <v>#NAME?</v>
      </c>
      <c r="AC112" t="e">
        <f t="shared" si="1156"/>
        <v>#NAME?</v>
      </c>
      <c r="AE112">
        <f t="shared" si="1161"/>
        <v>107</v>
      </c>
      <c r="AF112" t="e">
        <f t="shared" si="1164"/>
        <v>#NAME?</v>
      </c>
    </row>
    <row r="113">
      <c r="B113" s="20" t="s">
        <v>576</v>
      </c>
      <c r="W113">
        <f t="shared" si="1162"/>
        <v>108</v>
      </c>
      <c r="Z113" t="e">
        <f>SUMPRODUCT(Z112,J6)</f>
        <v>#NAME?</v>
      </c>
      <c r="AA113" t="e">
        <f t="shared" si="1163"/>
        <v>#NAME?</v>
      </c>
      <c r="AB113" t="e">
        <f t="shared" si="1155"/>
        <v>#NAME?</v>
      </c>
      <c r="AC113" t="e">
        <f t="shared" si="1156"/>
        <v>#NAME?</v>
      </c>
      <c r="AE113">
        <f t="shared" si="1161"/>
        <v>108</v>
      </c>
      <c r="AF113" t="e">
        <f t="shared" si="1164"/>
        <v>#NAME?</v>
      </c>
    </row>
    <row r="114">
      <c r="W114">
        <f t="shared" si="1162"/>
        <v>109</v>
      </c>
      <c r="Z114" t="e">
        <f>SUMPRODUCT(Z113,J6)</f>
        <v>#NAME?</v>
      </c>
      <c r="AA114" t="e">
        <f t="shared" si="1163"/>
        <v>#NAME?</v>
      </c>
      <c r="AB114" t="e">
        <f t="shared" si="1155"/>
        <v>#NAME?</v>
      </c>
      <c r="AC114" t="e">
        <f t="shared" si="1156"/>
        <v>#NAME?</v>
      </c>
      <c r="AE114">
        <f t="shared" si="1161"/>
        <v>109</v>
      </c>
      <c r="AF114" t="e">
        <f t="shared" si="1164"/>
        <v>#NAME?</v>
      </c>
    </row>
    <row r="115">
      <c r="W115" s="14">
        <f t="shared" si="1162"/>
        <v>110</v>
      </c>
      <c r="X115" s="14"/>
      <c r="Y115" s="14"/>
      <c r="Z115" s="14" t="e">
        <f>SUMPRODUCT(Z114,J6)</f>
        <v>#NAME?</v>
      </c>
      <c r="AA115" s="14" t="e">
        <f t="shared" si="1163"/>
        <v>#NAME?</v>
      </c>
      <c r="AB115" s="14" t="e">
        <f t="shared" si="1155"/>
        <v>#NAME?</v>
      </c>
      <c r="AC115" s="14" t="e">
        <f t="shared" si="1156"/>
        <v>#NAME?</v>
      </c>
      <c r="AE115" s="14">
        <f t="shared" si="1161"/>
        <v>110</v>
      </c>
      <c r="AF115" s="14" t="e">
        <f t="shared" si="1164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3" max="3" width="3.1785709999999998"/>
    <col customWidth="1" min="4" max="4" width="16"/>
  </cols>
  <sheetData>
    <row r="1">
      <c r="A1" s="1" t="s">
        <v>585</v>
      </c>
    </row>
    <row r="3">
      <c r="A3" t="s">
        <v>449</v>
      </c>
      <c r="B3" s="7">
        <v>0.40000000000000002</v>
      </c>
    </row>
    <row r="4">
      <c r="A4" t="s">
        <v>573</v>
      </c>
      <c r="B4" s="13">
        <v>-0.20000000000000001</v>
      </c>
    </row>
    <row r="6">
      <c r="A6" t="s">
        <v>520</v>
      </c>
      <c r="B6" s="7" t="e">
        <v>#NAME?</v>
      </c>
      <c r="D6" t="e">
        <v>#NAME?</v>
      </c>
    </row>
    <row r="7">
      <c r="A7" t="s">
        <v>521</v>
      </c>
      <c r="B7" s="10" t="e">
        <v>#NAME?</v>
      </c>
    </row>
    <row r="8">
      <c r="A8" t="s">
        <v>522</v>
      </c>
      <c r="B8" s="10" t="e">
        <v>#NAME?</v>
      </c>
    </row>
    <row r="9">
      <c r="A9" t="s">
        <v>523</v>
      </c>
      <c r="B9" s="10" t="e">
        <v>#NAME?</v>
      </c>
    </row>
    <row r="10">
      <c r="A10" t="s">
        <v>524</v>
      </c>
      <c r="B10" s="13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4" max="4" width="9.1785709999999998"/>
    <col customWidth="1" min="7" max="7" width="9.1785709999999998"/>
    <col customWidth="1" min="9" max="9" width="10.267856999999999"/>
    <col customWidth="1" min="10" max="10" width="9.1785709999999998"/>
    <col customWidth="1" min="15" max="15" width="9.1785709999999998"/>
    <col customWidth="1" min="22" max="22" width="9.1785709999999998"/>
  </cols>
  <sheetData>
    <row r="1">
      <c r="A1" s="1" t="s">
        <v>586</v>
      </c>
      <c r="D1" t="s">
        <v>578</v>
      </c>
      <c r="H1" t="s">
        <v>475</v>
      </c>
      <c r="L1" t="s">
        <v>476</v>
      </c>
      <c r="P1" t="s">
        <v>477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391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 t="e">
        <f t="shared" ref="E4:E9" si="1165">B4-J$6</f>
        <v>#NAME?</v>
      </c>
      <c r="F4">
        <v>0</v>
      </c>
      <c r="H4" s="15">
        <v>2</v>
      </c>
      <c r="I4" t="e">
        <f>Q6</f>
        <v>#NAME?</v>
      </c>
      <c r="J4">
        <v>0</v>
      </c>
      <c r="L4" t="e">
        <v>#NAME?</v>
      </c>
      <c r="M4" t="e">
        <v>#NAME?</v>
      </c>
      <c r="N4" t="e">
        <v>#NAME?</v>
      </c>
      <c r="P4" t="s">
        <v>494</v>
      </c>
      <c r="Q4" t="e">
        <v>#NAME?</v>
      </c>
      <c r="R4" t="e">
        <v>#NAME?</v>
      </c>
      <c r="S4" t="e">
        <f t="shared" ref="S4:S7" si="1166">Q4/R4</f>
        <v>#NAME?</v>
      </c>
      <c r="T4" t="e">
        <f t="shared" ref="T4:T7" si="1167">TDIST(ABS(S4),J$18-J$10-J$11-1,2)</f>
        <v>#NAME?</v>
      </c>
      <c r="V4">
        <f t="shared" ref="V4:V9" si="1168">D4</f>
        <v>1</v>
      </c>
      <c r="W4" t="e">
        <f t="shared" ref="W4:W9" si="1169">E4</f>
        <v>#NAME?</v>
      </c>
      <c r="X4">
        <f t="shared" ref="X4:X9" si="1170">F4</f>
        <v>0</v>
      </c>
      <c r="Y4" t="e">
        <f t="shared" ref="Y4:Y9" si="1171">W4-X4</f>
        <v>#NAME?</v>
      </c>
      <c r="Z4" t="e">
        <f t="shared" ref="Z4:Z67" si="1172">J$15</f>
        <v>#NAME?</v>
      </c>
      <c r="AA4" t="e">
        <f t="shared" ref="AA4:AA9" si="1173">Y4-NORMSINV(1-Z$2/2)*Z4</f>
        <v>#NAME?</v>
      </c>
      <c r="AB4" t="e">
        <f t="shared" ref="AB4:AB9" si="1174">Y4+NORMSINV(1-Z$2/2)*Z4</f>
        <v>#NAME?</v>
      </c>
      <c r="AD4">
        <v>1</v>
      </c>
      <c r="AE4">
        <f t="shared" ref="AE4:AE9" si="1175">B4</f>
        <v>3.1176756475655401</v>
      </c>
    </row>
    <row r="5">
      <c r="A5">
        <f t="shared" ref="A5:A10" si="1176">A4+1</f>
        <v>2</v>
      </c>
      <c r="B5">
        <v>5.8082510857989273</v>
      </c>
      <c r="D5">
        <f t="shared" ref="D5:D10" si="1177">D4+1</f>
        <v>2</v>
      </c>
      <c r="E5" t="e">
        <f t="shared" si="1165"/>
        <v>#NAME?</v>
      </c>
      <c r="F5">
        <v>0</v>
      </c>
      <c r="H5" s="15">
        <f>H4-1</f>
        <v>1</v>
      </c>
      <c r="I5" t="e">
        <f>Q5</f>
        <v>#NAME?</v>
      </c>
      <c r="J5" t="e">
        <f>Q7</f>
        <v>#NAME?</v>
      </c>
      <c r="L5" s="14" t="e">
        <v>#NAME?</v>
      </c>
      <c r="M5" s="14" t="e">
        <v>#NAME?</v>
      </c>
      <c r="N5" s="14" t="e">
        <v>#NAME?</v>
      </c>
      <c r="P5" t="s">
        <v>488</v>
      </c>
      <c r="Q5" t="e">
        <v>#NAME?</v>
      </c>
      <c r="R5" t="e">
        <v>#NAME?</v>
      </c>
      <c r="S5" t="e">
        <f t="shared" si="1166"/>
        <v>#NAME?</v>
      </c>
      <c r="T5" t="e">
        <f t="shared" si="1167"/>
        <v>#NAME?</v>
      </c>
      <c r="V5">
        <f t="shared" si="1168"/>
        <v>2</v>
      </c>
      <c r="W5" t="e">
        <f t="shared" si="1169"/>
        <v>#NAME?</v>
      </c>
      <c r="X5">
        <f t="shared" si="1170"/>
        <v>0</v>
      </c>
      <c r="Y5" t="e">
        <f t="shared" si="1171"/>
        <v>#NAME?</v>
      </c>
      <c r="Z5" t="e">
        <f t="shared" si="1172"/>
        <v>#NAME?</v>
      </c>
      <c r="AA5" t="e">
        <f t="shared" si="1173"/>
        <v>#NAME?</v>
      </c>
      <c r="AB5" t="e">
        <f t="shared" si="1174"/>
        <v>#NAME?</v>
      </c>
      <c r="AD5">
        <f t="shared" ref="AD5:AD10" si="1178">AD4+1</f>
        <v>2</v>
      </c>
      <c r="AE5">
        <f t="shared" si="1175"/>
        <v>5.80825108579893</v>
      </c>
    </row>
    <row r="6">
      <c r="A6">
        <f t="shared" si="1176"/>
        <v>3</v>
      </c>
      <c r="B6">
        <v>4.9067685983817757</v>
      </c>
      <c r="D6">
        <f t="shared" si="1177"/>
        <v>3</v>
      </c>
      <c r="E6" t="e">
        <f t="shared" si="1165"/>
        <v>#NAME?</v>
      </c>
      <c r="F6" t="e">
        <f t="shared" ref="F6:F9" si="1179">E6-SUMPRODUCT(E4:E5,I$4:I$5)-SUMPRODUCT(F5,J$5)</f>
        <v>#NAME?</v>
      </c>
      <c r="H6" s="17" t="s">
        <v>494</v>
      </c>
      <c r="I6" s="14" t="e">
        <f>Q4</f>
        <v>#NAME?</v>
      </c>
      <c r="J6" s="14" t="e">
        <f>I6/(1-SUM(I4:I5))</f>
        <v>#NAME?</v>
      </c>
      <c r="P6" t="s">
        <v>489</v>
      </c>
      <c r="Q6" t="e">
        <v>#NAME?</v>
      </c>
      <c r="R6" t="e">
        <v>#NAME?</v>
      </c>
      <c r="S6" t="e">
        <f t="shared" si="1166"/>
        <v>#NAME?</v>
      </c>
      <c r="T6" t="e">
        <f t="shared" si="1167"/>
        <v>#NAME?</v>
      </c>
      <c r="V6">
        <f t="shared" si="1168"/>
        <v>3</v>
      </c>
      <c r="W6" t="e">
        <f t="shared" si="1169"/>
        <v>#NAME?</v>
      </c>
      <c r="X6" t="e">
        <f t="shared" si="1170"/>
        <v>#NAME?</v>
      </c>
      <c r="Y6" t="e">
        <f t="shared" si="1171"/>
        <v>#NAME?</v>
      </c>
      <c r="Z6" t="e">
        <f t="shared" si="1172"/>
        <v>#NAME?</v>
      </c>
      <c r="AA6" t="e">
        <f t="shared" si="1173"/>
        <v>#NAME?</v>
      </c>
      <c r="AB6" t="e">
        <f t="shared" si="1174"/>
        <v>#NAME?</v>
      </c>
      <c r="AD6">
        <f t="shared" si="1178"/>
        <v>3</v>
      </c>
      <c r="AE6">
        <f t="shared" si="1175"/>
        <v>4.9067685983817801</v>
      </c>
    </row>
    <row r="7">
      <c r="A7">
        <f t="shared" si="1176"/>
        <v>4</v>
      </c>
      <c r="B7">
        <v>6.1194744822602418</v>
      </c>
      <c r="D7">
        <f t="shared" si="1177"/>
        <v>4</v>
      </c>
      <c r="E7" t="e">
        <f t="shared" si="1165"/>
        <v>#NAME?</v>
      </c>
      <c r="F7" t="e">
        <f t="shared" si="1179"/>
        <v>#NAME?</v>
      </c>
      <c r="L7" t="s">
        <v>495</v>
      </c>
      <c r="P7" s="14" t="s">
        <v>581</v>
      </c>
      <c r="Q7" s="14" t="e">
        <v>#NAME?</v>
      </c>
      <c r="R7" s="14" t="e">
        <v>#NAME?</v>
      </c>
      <c r="S7" s="14" t="e">
        <f t="shared" si="1166"/>
        <v>#NAME?</v>
      </c>
      <c r="T7" s="14" t="e">
        <f t="shared" si="1167"/>
        <v>#NAME?</v>
      </c>
      <c r="V7">
        <f t="shared" si="1168"/>
        <v>4</v>
      </c>
      <c r="W7" t="e">
        <f t="shared" si="1169"/>
        <v>#NAME?</v>
      </c>
      <c r="X7" t="e">
        <f t="shared" si="1170"/>
        <v>#NAME?</v>
      </c>
      <c r="Y7" t="e">
        <f t="shared" si="1171"/>
        <v>#NAME?</v>
      </c>
      <c r="Z7" t="e">
        <f t="shared" si="1172"/>
        <v>#NAME?</v>
      </c>
      <c r="AA7" t="e">
        <f t="shared" si="1173"/>
        <v>#NAME?</v>
      </c>
      <c r="AB7" t="e">
        <f t="shared" si="1174"/>
        <v>#NAME?</v>
      </c>
      <c r="AD7">
        <f t="shared" si="1178"/>
        <v>4</v>
      </c>
      <c r="AE7">
        <f t="shared" si="1175"/>
        <v>6.11947448226024</v>
      </c>
    </row>
    <row r="8">
      <c r="A8">
        <f t="shared" si="1176"/>
        <v>5</v>
      </c>
      <c r="B8">
        <v>8.1353263117657075</v>
      </c>
      <c r="D8">
        <f t="shared" si="1177"/>
        <v>5</v>
      </c>
      <c r="E8" t="e">
        <f t="shared" si="1165"/>
        <v>#NAME?</v>
      </c>
      <c r="F8" t="e">
        <f t="shared" si="1179"/>
        <v>#NAME?</v>
      </c>
      <c r="I8" t="s">
        <v>464</v>
      </c>
      <c r="J8" s="18" t="e">
        <f>SUMSQ(F6:F108)</f>
        <v>#NAME?</v>
      </c>
      <c r="V8">
        <f t="shared" si="1168"/>
        <v>5</v>
      </c>
      <c r="W8" t="e">
        <f t="shared" si="1169"/>
        <v>#NAME?</v>
      </c>
      <c r="X8" t="e">
        <f t="shared" si="1170"/>
        <v>#NAME?</v>
      </c>
      <c r="Y8" t="e">
        <f t="shared" si="1171"/>
        <v>#NAME?</v>
      </c>
      <c r="Z8" t="e">
        <f t="shared" si="1172"/>
        <v>#NAME?</v>
      </c>
      <c r="AA8" t="e">
        <f t="shared" si="1173"/>
        <v>#NAME?</v>
      </c>
      <c r="AB8" t="e">
        <f t="shared" si="1174"/>
        <v>#NAME?</v>
      </c>
      <c r="AD8">
        <f t="shared" si="1178"/>
        <v>5</v>
      </c>
      <c r="AE8">
        <f t="shared" si="1175"/>
        <v>8.1353263117657093</v>
      </c>
    </row>
    <row r="9">
      <c r="A9">
        <f t="shared" si="1176"/>
        <v>6</v>
      </c>
      <c r="B9">
        <v>9.3448674266459744</v>
      </c>
      <c r="D9">
        <f t="shared" si="1177"/>
        <v>6</v>
      </c>
      <c r="E9" t="e">
        <f t="shared" si="1165"/>
        <v>#NAME?</v>
      </c>
      <c r="F9" t="e">
        <f t="shared" si="1179"/>
        <v>#NAME?</v>
      </c>
      <c r="L9" s="24" t="s">
        <v>469</v>
      </c>
      <c r="M9" s="24" t="s">
        <v>470</v>
      </c>
      <c r="N9" s="24" t="s">
        <v>484</v>
      </c>
      <c r="P9" t="e">
        <v>#NAME?</v>
      </c>
      <c r="Q9" t="e">
        <v>#NAME?</v>
      </c>
      <c r="R9" t="e">
        <v>#NAME?</v>
      </c>
      <c r="S9" t="e">
        <v>#NAME?</v>
      </c>
      <c r="T9" t="e">
        <v>#NAME?</v>
      </c>
      <c r="V9">
        <f t="shared" si="1168"/>
        <v>6</v>
      </c>
      <c r="W9" t="e">
        <f t="shared" si="1169"/>
        <v>#NAME?</v>
      </c>
      <c r="X9" t="e">
        <f t="shared" si="1170"/>
        <v>#NAME?</v>
      </c>
      <c r="Y9" t="e">
        <f t="shared" si="1171"/>
        <v>#NAME?</v>
      </c>
      <c r="Z9" t="e">
        <f t="shared" si="1172"/>
        <v>#NAME?</v>
      </c>
      <c r="AA9" t="e">
        <f t="shared" si="1173"/>
        <v>#NAME?</v>
      </c>
      <c r="AB9" t="e">
        <f t="shared" si="1174"/>
        <v>#NAME?</v>
      </c>
      <c r="AD9">
        <f t="shared" si="1178"/>
        <v>6</v>
      </c>
      <c r="AE9">
        <f t="shared" si="1175"/>
        <v>9.3448674266459797</v>
      </c>
    </row>
    <row r="10">
      <c r="A10">
        <f t="shared" si="1176"/>
        <v>7</v>
      </c>
      <c r="B10">
        <v>9.1476506838871607</v>
      </c>
      <c r="D10">
        <f t="shared" si="1177"/>
        <v>7</v>
      </c>
      <c r="E10" t="e">
        <f t="shared" ref="E10:E73" si="1180">B10-J$6</f>
        <v>#NAME?</v>
      </c>
      <c r="F10" t="e">
        <f>E10-SUMPRODUCT(E8:E9,I$4:I$5)-SUMPRODUCT(F9,J$5)</f>
        <v>#NAME?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P10" t="e">
        <v>#NAME?</v>
      </c>
      <c r="Q10" s="5" t="e">
        <v>#NAME?</v>
      </c>
      <c r="R10" s="42" t="e">
        <v>#NAME?</v>
      </c>
      <c r="S10" s="42" t="e">
        <v>#NAME?</v>
      </c>
      <c r="T10" s="6" t="e">
        <v>#NAME?</v>
      </c>
      <c r="V10">
        <f t="shared" ref="V10:V73" si="1181">D10</f>
        <v>7</v>
      </c>
      <c r="W10" t="e">
        <f t="shared" ref="W10:W73" si="1182">E10</f>
        <v>#NAME?</v>
      </c>
      <c r="X10" t="e">
        <f t="shared" ref="X10:X73" si="1183">F10</f>
        <v>#NAME?</v>
      </c>
      <c r="Y10" t="e">
        <f t="shared" ref="Y10:Y73" si="1184">W10-X10</f>
        <v>#NAME?</v>
      </c>
      <c r="Z10" t="e">
        <f t="shared" si="1172"/>
        <v>#NAME?</v>
      </c>
      <c r="AA10" t="e">
        <f t="shared" ref="AA10:AA73" si="1185">Y10-NORMSINV(1-Z$2/2)*Z10</f>
        <v>#NAME?</v>
      </c>
      <c r="AB10" t="e">
        <f t="shared" ref="AB10:AB73" si="1186">Y10+NORMSINV(1-Z$2/2)*Z10</f>
        <v>#NAME?</v>
      </c>
      <c r="AD10">
        <f t="shared" si="1178"/>
        <v>7</v>
      </c>
      <c r="AE10">
        <f t="shared" ref="AE10:AE73" si="1187">B10</f>
        <v>9.1476506838871607</v>
      </c>
    </row>
    <row r="11">
      <c r="A11">
        <f t="shared" ref="A11:A74" si="1188">A10+1</f>
        <v>8</v>
      </c>
      <c r="B11">
        <v>8.101493281302977</v>
      </c>
      <c r="D11">
        <f t="shared" ref="D11:D74" si="1189">D10+1</f>
        <v>8</v>
      </c>
      <c r="E11" t="e">
        <f t="shared" si="1180"/>
        <v>#NAME?</v>
      </c>
      <c r="F11" t="e">
        <f>E11-SUMPRODUCT(E9:E10,I$4:I$5)-SUMPRODUCT(F10,J$5)</f>
        <v>#NAME?</v>
      </c>
      <c r="I11" t="s">
        <v>498</v>
      </c>
      <c r="J11" s="10">
        <v>1</v>
      </c>
      <c r="P11" t="e">
        <v>#NAME?</v>
      </c>
      <c r="Q11" s="8" t="e">
        <v>#NAME?</v>
      </c>
      <c r="R11" t="e">
        <v>#NAME?</v>
      </c>
      <c r="S11" t="e">
        <v>#NAME?</v>
      </c>
      <c r="T11" s="9" t="e">
        <v>#NAME?</v>
      </c>
      <c r="V11">
        <f t="shared" si="1181"/>
        <v>8</v>
      </c>
      <c r="W11" t="e">
        <f t="shared" si="1182"/>
        <v>#NAME?</v>
      </c>
      <c r="X11" t="e">
        <f t="shared" si="1183"/>
        <v>#NAME?</v>
      </c>
      <c r="Y11" t="e">
        <f t="shared" si="1184"/>
        <v>#NAME?</v>
      </c>
      <c r="Z11" t="e">
        <f t="shared" si="1172"/>
        <v>#NAME?</v>
      </c>
      <c r="AA11" t="e">
        <f t="shared" si="1185"/>
        <v>#NAME?</v>
      </c>
      <c r="AB11" t="e">
        <f t="shared" si="1186"/>
        <v>#NAME?</v>
      </c>
      <c r="AD11">
        <f t="shared" ref="AD11:AD74" si="1190">AD10+1</f>
        <v>8</v>
      </c>
      <c r="AE11">
        <f t="shared" si="1187"/>
        <v>8.1014932813029805</v>
      </c>
    </row>
    <row r="12">
      <c r="A12">
        <f t="shared" si="1188"/>
        <v>9</v>
      </c>
      <c r="B12">
        <v>10.146419029172929</v>
      </c>
      <c r="D12">
        <f t="shared" si="1189"/>
        <v>9</v>
      </c>
      <c r="E12" t="e">
        <f t="shared" si="1180"/>
        <v>#NAME?</v>
      </c>
      <c r="F12" t="e">
        <f t="shared" ref="F12:F75" si="1191">E12-SUMPRODUCT(E10:E11,I$4:I$5)-SUMPRODUCT(F11,J$5)</f>
        <v>#NAME?</v>
      </c>
      <c r="I12" t="s">
        <v>181</v>
      </c>
      <c r="J12" s="10">
        <v>0</v>
      </c>
      <c r="L12" t="s">
        <v>499</v>
      </c>
      <c r="P12" t="e">
        <v>#NAME?</v>
      </c>
      <c r="Q12" s="8" t="e">
        <v>#NAME?</v>
      </c>
      <c r="R12" t="e">
        <v>#NAME?</v>
      </c>
      <c r="S12" t="e">
        <v>#NAME?</v>
      </c>
      <c r="T12" s="9" t="e">
        <v>#NAME?</v>
      </c>
      <c r="V12">
        <f t="shared" si="1181"/>
        <v>9</v>
      </c>
      <c r="W12" t="e">
        <f t="shared" si="1182"/>
        <v>#NAME?</v>
      </c>
      <c r="X12" t="e">
        <f t="shared" si="1183"/>
        <v>#NAME?</v>
      </c>
      <c r="Y12" t="e">
        <f t="shared" si="1184"/>
        <v>#NAME?</v>
      </c>
      <c r="Z12" t="e">
        <f t="shared" si="1172"/>
        <v>#NAME?</v>
      </c>
      <c r="AA12" t="e">
        <f t="shared" si="1185"/>
        <v>#NAME?</v>
      </c>
      <c r="AB12" t="e">
        <f t="shared" si="1186"/>
        <v>#NAME?</v>
      </c>
      <c r="AD12">
        <f t="shared" si="1190"/>
        <v>9</v>
      </c>
      <c r="AE12">
        <f t="shared" si="1187"/>
        <v>10.1464190291729</v>
      </c>
    </row>
    <row r="13">
      <c r="A13">
        <f t="shared" si="1188"/>
        <v>10</v>
      </c>
      <c r="B13">
        <v>11.045196349004179</v>
      </c>
      <c r="D13">
        <f t="shared" si="1189"/>
        <v>10</v>
      </c>
      <c r="E13" t="e">
        <f t="shared" si="1180"/>
        <v>#NAME?</v>
      </c>
      <c r="F13" t="e">
        <f t="shared" si="1191"/>
        <v>#NAME?</v>
      </c>
      <c r="I13" t="s">
        <v>500</v>
      </c>
      <c r="J13" s="10" t="e">
        <f>AVERAGE(F6:F108)</f>
        <v>#NAME?</v>
      </c>
      <c r="P13" t="e">
        <v>#NAME?</v>
      </c>
      <c r="Q13" s="11" t="e">
        <v>#NAME?</v>
      </c>
      <c r="R13" s="14" t="e">
        <v>#NAME?</v>
      </c>
      <c r="S13" s="14" t="e">
        <v>#NAME?</v>
      </c>
      <c r="T13" s="12" t="e">
        <v>#NAME?</v>
      </c>
      <c r="V13">
        <f t="shared" si="1181"/>
        <v>10</v>
      </c>
      <c r="W13" t="e">
        <f t="shared" si="1182"/>
        <v>#NAME?</v>
      </c>
      <c r="X13" t="e">
        <f t="shared" si="1183"/>
        <v>#NAME?</v>
      </c>
      <c r="Y13" t="e">
        <f t="shared" si="1184"/>
        <v>#NAME?</v>
      </c>
      <c r="Z13" t="e">
        <f t="shared" si="1172"/>
        <v>#NAME?</v>
      </c>
      <c r="AA13" t="e">
        <f t="shared" si="1185"/>
        <v>#NAME?</v>
      </c>
      <c r="AB13" t="e">
        <f t="shared" si="1186"/>
        <v>#NAME?</v>
      </c>
      <c r="AD13">
        <f t="shared" si="1190"/>
        <v>10</v>
      </c>
      <c r="AE13">
        <f t="shared" si="1187"/>
        <v>11.0451963490042</v>
      </c>
    </row>
    <row r="14">
      <c r="A14">
        <f t="shared" si="1188"/>
        <v>11</v>
      </c>
      <c r="B14">
        <v>10.122578080182986</v>
      </c>
      <c r="D14">
        <f t="shared" si="1189"/>
        <v>11</v>
      </c>
      <c r="E14" t="e">
        <f t="shared" si="1180"/>
        <v>#NAME?</v>
      </c>
      <c r="F14" t="e">
        <f t="shared" si="1191"/>
        <v>#NAME?</v>
      </c>
      <c r="I14" t="s">
        <v>502</v>
      </c>
      <c r="J14" s="10" t="e">
        <f>STDEV(F6:F108)</f>
        <v>#NAME?</v>
      </c>
      <c r="L14" s="24" t="s">
        <v>481</v>
      </c>
      <c r="M14" s="24" t="s">
        <v>501</v>
      </c>
      <c r="V14">
        <f t="shared" si="1181"/>
        <v>11</v>
      </c>
      <c r="W14" t="e">
        <f t="shared" si="1182"/>
        <v>#NAME?</v>
      </c>
      <c r="X14" t="e">
        <f t="shared" si="1183"/>
        <v>#NAME?</v>
      </c>
      <c r="Y14" t="e">
        <f t="shared" si="1184"/>
        <v>#NAME?</v>
      </c>
      <c r="Z14" t="e">
        <f t="shared" si="1172"/>
        <v>#NAME?</v>
      </c>
      <c r="AA14" t="e">
        <f t="shared" si="1185"/>
        <v>#NAME?</v>
      </c>
      <c r="AB14" t="e">
        <f t="shared" si="1186"/>
        <v>#NAME?</v>
      </c>
      <c r="AD14">
        <f t="shared" si="1190"/>
        <v>11</v>
      </c>
      <c r="AE14">
        <f t="shared" si="1187"/>
        <v>10.122578080183001</v>
      </c>
    </row>
    <row r="15">
      <c r="A15">
        <f t="shared" si="1188"/>
        <v>12</v>
      </c>
      <c r="B15">
        <v>10.173602244452049</v>
      </c>
      <c r="D15">
        <f t="shared" si="1189"/>
        <v>12</v>
      </c>
      <c r="E15" t="e">
        <f t="shared" si="1180"/>
        <v>#NAME?</v>
      </c>
      <c r="F15" t="e">
        <f t="shared" si="1191"/>
        <v>#NAME?</v>
      </c>
      <c r="I15" t="s">
        <v>503</v>
      </c>
      <c r="J15" s="10" t="e">
        <f>SQRT(J8/J18)</f>
        <v>#NAME?</v>
      </c>
      <c r="L15" s="42">
        <v>0</v>
      </c>
      <c r="M15" s="42" t="e">
        <v>#NAME?</v>
      </c>
      <c r="P15" t="e">
        <v>#NAME?</v>
      </c>
      <c r="Q15" s="7" t="e">
        <v>#NAME?</v>
      </c>
      <c r="V15">
        <f t="shared" si="1181"/>
        <v>12</v>
      </c>
      <c r="W15" t="e">
        <f t="shared" si="1182"/>
        <v>#NAME?</v>
      </c>
      <c r="X15" t="e">
        <f t="shared" si="1183"/>
        <v>#NAME?</v>
      </c>
      <c r="Y15" t="e">
        <f t="shared" si="1184"/>
        <v>#NAME?</v>
      </c>
      <c r="Z15" t="e">
        <f t="shared" si="1172"/>
        <v>#NAME?</v>
      </c>
      <c r="AA15" t="e">
        <f t="shared" si="1185"/>
        <v>#NAME?</v>
      </c>
      <c r="AB15" t="e">
        <f t="shared" si="1186"/>
        <v>#NAME?</v>
      </c>
      <c r="AD15">
        <f t="shared" si="1190"/>
        <v>12</v>
      </c>
      <c r="AE15">
        <f t="shared" si="1187"/>
        <v>10.1736022444521</v>
      </c>
    </row>
    <row r="16">
      <c r="A16">
        <f t="shared" si="1188"/>
        <v>13</v>
      </c>
      <c r="B16">
        <v>10.821309800892813</v>
      </c>
      <c r="D16">
        <f t="shared" si="1189"/>
        <v>13</v>
      </c>
      <c r="E16" t="e">
        <f t="shared" si="1180"/>
        <v>#NAME?</v>
      </c>
      <c r="F16" t="e">
        <f t="shared" si="1191"/>
        <v>#NAME?</v>
      </c>
      <c r="I16" t="s">
        <v>504</v>
      </c>
      <c r="J16" s="10" t="e">
        <f>AVERAGE(E6:E108)</f>
        <v>#NAME?</v>
      </c>
      <c r="L16">
        <f t="shared" ref="L16:L19" si="1192">L15+1</f>
        <v>1</v>
      </c>
      <c r="M16" t="e">
        <v>#NAME?</v>
      </c>
      <c r="P16" t="e">
        <v>#NAME?</v>
      </c>
      <c r="Q16" s="10" t="e">
        <v>#NAME?</v>
      </c>
      <c r="V16">
        <f t="shared" si="1181"/>
        <v>13</v>
      </c>
      <c r="W16" t="e">
        <f t="shared" si="1182"/>
        <v>#NAME?</v>
      </c>
      <c r="X16" t="e">
        <f t="shared" si="1183"/>
        <v>#NAME?</v>
      </c>
      <c r="Y16" t="e">
        <f t="shared" si="1184"/>
        <v>#NAME?</v>
      </c>
      <c r="Z16" t="e">
        <f t="shared" si="1172"/>
        <v>#NAME?</v>
      </c>
      <c r="AA16" t="e">
        <f t="shared" si="1185"/>
        <v>#NAME?</v>
      </c>
      <c r="AB16" t="e">
        <f t="shared" si="1186"/>
        <v>#NAME?</v>
      </c>
      <c r="AD16">
        <f t="shared" si="1190"/>
        <v>13</v>
      </c>
      <c r="AE16">
        <f t="shared" si="1187"/>
        <v>10.8213098008928</v>
      </c>
    </row>
    <row r="17">
      <c r="A17">
        <f t="shared" si="1188"/>
        <v>14</v>
      </c>
      <c r="B17">
        <v>10.084063249573955</v>
      </c>
      <c r="D17">
        <f t="shared" si="1189"/>
        <v>14</v>
      </c>
      <c r="E17" t="e">
        <f t="shared" si="1180"/>
        <v>#NAME?</v>
      </c>
      <c r="F17" t="e">
        <f t="shared" si="1191"/>
        <v>#NAME?</v>
      </c>
      <c r="I17" t="s">
        <v>505</v>
      </c>
      <c r="J17" s="10" t="e">
        <f>STDEV(E6:E108)</f>
        <v>#NAME?</v>
      </c>
      <c r="L17">
        <f t="shared" si="1192"/>
        <v>2</v>
      </c>
      <c r="M17" t="e">
        <v>#NAME?</v>
      </c>
      <c r="P17" t="e">
        <v>#NAME?</v>
      </c>
      <c r="Q17" s="10" t="e">
        <v>#NAME?</v>
      </c>
      <c r="V17">
        <f t="shared" si="1181"/>
        <v>14</v>
      </c>
      <c r="W17" t="e">
        <f t="shared" si="1182"/>
        <v>#NAME?</v>
      </c>
      <c r="X17" t="e">
        <f t="shared" si="1183"/>
        <v>#NAME?</v>
      </c>
      <c r="Y17" t="e">
        <f t="shared" si="1184"/>
        <v>#NAME?</v>
      </c>
      <c r="Z17" t="e">
        <f t="shared" si="1172"/>
        <v>#NAME?</v>
      </c>
      <c r="AA17" t="e">
        <f t="shared" si="1185"/>
        <v>#NAME?</v>
      </c>
      <c r="AB17" t="e">
        <f t="shared" si="1186"/>
        <v>#NAME?</v>
      </c>
      <c r="AD17">
        <f t="shared" si="1190"/>
        <v>14</v>
      </c>
      <c r="AE17">
        <f t="shared" si="1187"/>
        <v>10.084063249573999</v>
      </c>
    </row>
    <row r="18">
      <c r="A18">
        <f t="shared" si="1188"/>
        <v>15</v>
      </c>
      <c r="B18">
        <v>10.346054055555475</v>
      </c>
      <c r="D18">
        <f t="shared" si="1189"/>
        <v>15</v>
      </c>
      <c r="E18" t="e">
        <f t="shared" si="1180"/>
        <v>#NAME?</v>
      </c>
      <c r="F18" t="e">
        <f t="shared" si="1191"/>
        <v>#NAME?</v>
      </c>
      <c r="I18" t="s">
        <v>506</v>
      </c>
      <c r="J18" s="13">
        <f>COUNT(E6:E108)</f>
        <v>0</v>
      </c>
      <c r="L18">
        <f t="shared" si="1192"/>
        <v>3</v>
      </c>
      <c r="M18" t="e">
        <v>#NAME?</v>
      </c>
      <c r="P18" t="e">
        <v>#NAME?</v>
      </c>
      <c r="Q18" s="10" t="e">
        <v>#NAME?</v>
      </c>
      <c r="V18">
        <f t="shared" si="1181"/>
        <v>15</v>
      </c>
      <c r="W18" t="e">
        <f t="shared" si="1182"/>
        <v>#NAME?</v>
      </c>
      <c r="X18" t="e">
        <f t="shared" si="1183"/>
        <v>#NAME?</v>
      </c>
      <c r="Y18" t="e">
        <f t="shared" si="1184"/>
        <v>#NAME?</v>
      </c>
      <c r="Z18" t="e">
        <f t="shared" si="1172"/>
        <v>#NAME?</v>
      </c>
      <c r="AA18" t="e">
        <f t="shared" si="1185"/>
        <v>#NAME?</v>
      </c>
      <c r="AB18" t="e">
        <f t="shared" si="1186"/>
        <v>#NAME?</v>
      </c>
      <c r="AD18">
        <f t="shared" si="1190"/>
        <v>15</v>
      </c>
      <c r="AE18">
        <f t="shared" si="1187"/>
        <v>10.3460540555555</v>
      </c>
    </row>
    <row r="19">
      <c r="A19">
        <f t="shared" si="1188"/>
        <v>16</v>
      </c>
      <c r="B19">
        <v>9.6922029393025948</v>
      </c>
      <c r="D19">
        <f t="shared" si="1189"/>
        <v>16</v>
      </c>
      <c r="E19" t="e">
        <f t="shared" si="1180"/>
        <v>#NAME?</v>
      </c>
      <c r="F19" t="e">
        <f t="shared" si="1191"/>
        <v>#NAME?</v>
      </c>
      <c r="L19" s="14">
        <f t="shared" si="1192"/>
        <v>4</v>
      </c>
      <c r="M19" s="14" t="e">
        <v>#NAME?</v>
      </c>
      <c r="P19" t="e">
        <v>#NAME?</v>
      </c>
      <c r="Q19" s="10" t="e">
        <v>#NAME?</v>
      </c>
      <c r="V19">
        <f t="shared" si="1181"/>
        <v>16</v>
      </c>
      <c r="W19" t="e">
        <f t="shared" si="1182"/>
        <v>#NAME?</v>
      </c>
      <c r="X19" t="e">
        <f t="shared" si="1183"/>
        <v>#NAME?</v>
      </c>
      <c r="Y19" t="e">
        <f t="shared" si="1184"/>
        <v>#NAME?</v>
      </c>
      <c r="Z19" t="e">
        <f t="shared" si="1172"/>
        <v>#NAME?</v>
      </c>
      <c r="AA19" t="e">
        <f t="shared" si="1185"/>
        <v>#NAME?</v>
      </c>
      <c r="AB19" t="e">
        <f t="shared" si="1186"/>
        <v>#NAME?</v>
      </c>
      <c r="AD19">
        <f t="shared" si="1190"/>
        <v>16</v>
      </c>
      <c r="AE19">
        <f t="shared" si="1187"/>
        <v>9.6922029393026001</v>
      </c>
    </row>
    <row r="20">
      <c r="A20">
        <f t="shared" si="1188"/>
        <v>17</v>
      </c>
      <c r="B20">
        <v>11.205574770625869</v>
      </c>
      <c r="D20">
        <f t="shared" si="1189"/>
        <v>17</v>
      </c>
      <c r="E20" t="e">
        <f t="shared" si="1180"/>
        <v>#NAME?</v>
      </c>
      <c r="F20" t="e">
        <f t="shared" si="1191"/>
        <v>#NAME?</v>
      </c>
      <c r="I20" t="s">
        <v>507</v>
      </c>
      <c r="J20" s="7" t="e">
        <f>-(J23-2*(J10+J11+2))/2</f>
        <v>#NAME?</v>
      </c>
      <c r="P20" t="e">
        <v>#NAME?</v>
      </c>
      <c r="Q20" s="10" t="e">
        <v>#NAME?</v>
      </c>
      <c r="V20">
        <f t="shared" si="1181"/>
        <v>17</v>
      </c>
      <c r="W20" t="e">
        <f t="shared" si="1182"/>
        <v>#NAME?</v>
      </c>
      <c r="X20" t="e">
        <f t="shared" si="1183"/>
        <v>#NAME?</v>
      </c>
      <c r="Y20" t="e">
        <f t="shared" si="1184"/>
        <v>#NAME?</v>
      </c>
      <c r="Z20" t="e">
        <f t="shared" si="1172"/>
        <v>#NAME?</v>
      </c>
      <c r="AA20" t="e">
        <f t="shared" si="1185"/>
        <v>#NAME?</v>
      </c>
      <c r="AB20" t="e">
        <f t="shared" si="1186"/>
        <v>#NAME?</v>
      </c>
      <c r="AD20">
        <f t="shared" si="1190"/>
        <v>17</v>
      </c>
      <c r="AE20">
        <f t="shared" si="1187"/>
        <v>11.205574770625899</v>
      </c>
    </row>
    <row r="21">
      <c r="A21">
        <f t="shared" si="1188"/>
        <v>18</v>
      </c>
      <c r="B21">
        <v>12.652116416514845</v>
      </c>
      <c r="D21">
        <f t="shared" si="1189"/>
        <v>18</v>
      </c>
      <c r="E21" t="e">
        <f t="shared" si="1180"/>
        <v>#NAME?</v>
      </c>
      <c r="F21" t="e">
        <f t="shared" si="1191"/>
        <v>#NAME?</v>
      </c>
      <c r="I21" t="s">
        <v>374</v>
      </c>
      <c r="J21" s="10" t="e">
        <f>J18*LN(J8/J18)+2*(J10+J11+2)</f>
        <v>#NAME?</v>
      </c>
      <c r="P21" t="e">
        <v>#NAME?</v>
      </c>
      <c r="Q21" s="13" t="e">
        <v>#NAME?</v>
      </c>
      <c r="V21">
        <f t="shared" si="1181"/>
        <v>18</v>
      </c>
      <c r="W21" t="e">
        <f t="shared" si="1182"/>
        <v>#NAME?</v>
      </c>
      <c r="X21" t="e">
        <f t="shared" si="1183"/>
        <v>#NAME?</v>
      </c>
      <c r="Y21" t="e">
        <f t="shared" si="1184"/>
        <v>#NAME?</v>
      </c>
      <c r="Z21" t="e">
        <f t="shared" si="1172"/>
        <v>#NAME?</v>
      </c>
      <c r="AA21" t="e">
        <f t="shared" si="1185"/>
        <v>#NAME?</v>
      </c>
      <c r="AB21" t="e">
        <f t="shared" si="1186"/>
        <v>#NAME?</v>
      </c>
      <c r="AD21">
        <f t="shared" si="1190"/>
        <v>18</v>
      </c>
      <c r="AE21">
        <f t="shared" si="1187"/>
        <v>12.652116416514801</v>
      </c>
    </row>
    <row r="22">
      <c r="A22">
        <f t="shared" si="1188"/>
        <v>19</v>
      </c>
      <c r="B22">
        <v>13.406329168635398</v>
      </c>
      <c r="D22">
        <f t="shared" si="1189"/>
        <v>19</v>
      </c>
      <c r="E22" t="e">
        <f t="shared" si="1180"/>
        <v>#NAME?</v>
      </c>
      <c r="F22" t="e">
        <f t="shared" si="1191"/>
        <v>#NAME?</v>
      </c>
      <c r="I22" t="s">
        <v>508</v>
      </c>
      <c r="J22" s="10" t="e">
        <f>J18*LN(J8/J18)+LN(J18)*(J10+J11+2)</f>
        <v>#NAME?</v>
      </c>
      <c r="V22">
        <f t="shared" si="1181"/>
        <v>19</v>
      </c>
      <c r="W22" t="e">
        <f t="shared" si="1182"/>
        <v>#NAME?</v>
      </c>
      <c r="X22" t="e">
        <f t="shared" si="1183"/>
        <v>#NAME?</v>
      </c>
      <c r="Y22" t="e">
        <f t="shared" si="1184"/>
        <v>#NAME?</v>
      </c>
      <c r="Z22" t="e">
        <f t="shared" si="1172"/>
        <v>#NAME?</v>
      </c>
      <c r="AA22" t="e">
        <f t="shared" si="1185"/>
        <v>#NAME?</v>
      </c>
      <c r="AB22" t="e">
        <f t="shared" si="1186"/>
        <v>#NAME?</v>
      </c>
      <c r="AD22">
        <f t="shared" si="1190"/>
        <v>19</v>
      </c>
      <c r="AE22">
        <f t="shared" si="1187"/>
        <v>13.4063291686354</v>
      </c>
    </row>
    <row r="23">
      <c r="A23">
        <f t="shared" si="1188"/>
        <v>20</v>
      </c>
      <c r="B23">
        <v>12.231217930183975</v>
      </c>
      <c r="D23">
        <f t="shared" si="1189"/>
        <v>20</v>
      </c>
      <c r="E23" t="e">
        <f t="shared" si="1180"/>
        <v>#NAME?</v>
      </c>
      <c r="F23" t="e">
        <f t="shared" si="1191"/>
        <v>#NAME?</v>
      </c>
      <c r="I23" t="s">
        <v>509</v>
      </c>
      <c r="J23" s="10" t="e">
        <f>J18*(1+LN(2*PI()))+J21</f>
        <v>#NAME?</v>
      </c>
      <c r="V23">
        <f t="shared" si="1181"/>
        <v>20</v>
      </c>
      <c r="W23" t="e">
        <f t="shared" si="1182"/>
        <v>#NAME?</v>
      </c>
      <c r="X23" t="e">
        <f t="shared" si="1183"/>
        <v>#NAME?</v>
      </c>
      <c r="Y23" t="e">
        <f t="shared" si="1184"/>
        <v>#NAME?</v>
      </c>
      <c r="Z23" t="e">
        <f t="shared" si="1172"/>
        <v>#NAME?</v>
      </c>
      <c r="AA23" t="e">
        <f t="shared" si="1185"/>
        <v>#NAME?</v>
      </c>
      <c r="AB23" t="e">
        <f t="shared" si="1186"/>
        <v>#NAME?</v>
      </c>
      <c r="AD23">
        <f t="shared" si="1190"/>
        <v>20</v>
      </c>
      <c r="AE23">
        <f t="shared" si="1187"/>
        <v>12.231217930184</v>
      </c>
    </row>
    <row r="24">
      <c r="A24">
        <f t="shared" si="1188"/>
        <v>21</v>
      </c>
      <c r="B24">
        <v>12.116974455959236</v>
      </c>
      <c r="D24">
        <f t="shared" si="1189"/>
        <v>21</v>
      </c>
      <c r="E24" t="e">
        <f t="shared" si="1180"/>
        <v>#NAME?</v>
      </c>
      <c r="F24" t="e">
        <f t="shared" si="1191"/>
        <v>#NAME?</v>
      </c>
      <c r="I24" t="s">
        <v>510</v>
      </c>
      <c r="J24" s="13" t="e">
        <f>J18*(1+LN(2*PI()))+J22</f>
        <v>#NAME?</v>
      </c>
      <c r="V24">
        <f t="shared" si="1181"/>
        <v>21</v>
      </c>
      <c r="W24" t="e">
        <f t="shared" si="1182"/>
        <v>#NAME?</v>
      </c>
      <c r="X24" t="e">
        <f t="shared" si="1183"/>
        <v>#NAME?</v>
      </c>
      <c r="Y24" t="e">
        <f t="shared" si="1184"/>
        <v>#NAME?</v>
      </c>
      <c r="Z24" t="e">
        <f t="shared" si="1172"/>
        <v>#NAME?</v>
      </c>
      <c r="AA24" t="e">
        <f t="shared" si="1185"/>
        <v>#NAME?</v>
      </c>
      <c r="AB24" t="e">
        <f t="shared" si="1186"/>
        <v>#NAME?</v>
      </c>
      <c r="AD24">
        <f t="shared" si="1190"/>
        <v>21</v>
      </c>
      <c r="AE24">
        <f t="shared" si="1187"/>
        <v>12.1169744559592</v>
      </c>
    </row>
    <row r="25">
      <c r="A25">
        <f t="shared" si="1188"/>
        <v>22</v>
      </c>
      <c r="B25">
        <v>10.45988889436091</v>
      </c>
      <c r="D25">
        <f t="shared" si="1189"/>
        <v>22</v>
      </c>
      <c r="E25" t="e">
        <f t="shared" si="1180"/>
        <v>#NAME?</v>
      </c>
      <c r="F25" t="e">
        <f t="shared" si="1191"/>
        <v>#NAME?</v>
      </c>
      <c r="V25">
        <f t="shared" si="1181"/>
        <v>22</v>
      </c>
      <c r="W25" t="e">
        <f t="shared" si="1182"/>
        <v>#NAME?</v>
      </c>
      <c r="X25" t="e">
        <f t="shared" si="1183"/>
        <v>#NAME?</v>
      </c>
      <c r="Y25" t="e">
        <f t="shared" si="1184"/>
        <v>#NAME?</v>
      </c>
      <c r="Z25" t="e">
        <f t="shared" si="1172"/>
        <v>#NAME?</v>
      </c>
      <c r="AA25" t="e">
        <f t="shared" si="1185"/>
        <v>#NAME?</v>
      </c>
      <c r="AB25" t="e">
        <f t="shared" si="1186"/>
        <v>#NAME?</v>
      </c>
      <c r="AD25">
        <f t="shared" si="1190"/>
        <v>22</v>
      </c>
      <c r="AE25">
        <f t="shared" si="1187"/>
        <v>10.459888894360899</v>
      </c>
    </row>
    <row r="26">
      <c r="A26">
        <f t="shared" si="1188"/>
        <v>23</v>
      </c>
      <c r="B26">
        <v>9.4464576710812267</v>
      </c>
      <c r="D26">
        <f t="shared" si="1189"/>
        <v>23</v>
      </c>
      <c r="E26" t="e">
        <f t="shared" si="1180"/>
        <v>#NAME?</v>
      </c>
      <c r="F26" t="e">
        <f t="shared" si="1191"/>
        <v>#NAME?</v>
      </c>
      <c r="V26">
        <f t="shared" si="1181"/>
        <v>23</v>
      </c>
      <c r="W26" t="e">
        <f t="shared" si="1182"/>
        <v>#NAME?</v>
      </c>
      <c r="X26" t="e">
        <f t="shared" si="1183"/>
        <v>#NAME?</v>
      </c>
      <c r="Y26" t="e">
        <f t="shared" si="1184"/>
        <v>#NAME?</v>
      </c>
      <c r="Z26" t="e">
        <f t="shared" si="1172"/>
        <v>#NAME?</v>
      </c>
      <c r="AA26" t="e">
        <f t="shared" si="1185"/>
        <v>#NAME?</v>
      </c>
      <c r="AB26" t="e">
        <f t="shared" si="1186"/>
        <v>#NAME?</v>
      </c>
      <c r="AD26">
        <f t="shared" si="1190"/>
        <v>23</v>
      </c>
      <c r="AE26">
        <f t="shared" si="1187"/>
        <v>9.4464576710812302</v>
      </c>
    </row>
    <row r="27">
      <c r="A27">
        <f t="shared" si="1188"/>
        <v>24</v>
      </c>
      <c r="B27">
        <v>11.181030434794319</v>
      </c>
      <c r="D27">
        <f t="shared" si="1189"/>
        <v>24</v>
      </c>
      <c r="E27" t="e">
        <f t="shared" si="1180"/>
        <v>#NAME?</v>
      </c>
      <c r="F27" t="e">
        <f t="shared" si="1191"/>
        <v>#NAME?</v>
      </c>
      <c r="V27">
        <f t="shared" si="1181"/>
        <v>24</v>
      </c>
      <c r="W27" t="e">
        <f t="shared" si="1182"/>
        <v>#NAME?</v>
      </c>
      <c r="X27" t="e">
        <f t="shared" si="1183"/>
        <v>#NAME?</v>
      </c>
      <c r="Y27" t="e">
        <f t="shared" si="1184"/>
        <v>#NAME?</v>
      </c>
      <c r="Z27" t="e">
        <f t="shared" si="1172"/>
        <v>#NAME?</v>
      </c>
      <c r="AA27" t="e">
        <f t="shared" si="1185"/>
        <v>#NAME?</v>
      </c>
      <c r="AB27" t="e">
        <f t="shared" si="1186"/>
        <v>#NAME?</v>
      </c>
      <c r="AD27">
        <f t="shared" si="1190"/>
        <v>24</v>
      </c>
      <c r="AE27">
        <f t="shared" si="1187"/>
        <v>11.1810304347943</v>
      </c>
    </row>
    <row r="28">
      <c r="A28">
        <f t="shared" si="1188"/>
        <v>25</v>
      </c>
      <c r="B28">
        <v>7.5853602163456753</v>
      </c>
      <c r="D28">
        <f t="shared" si="1189"/>
        <v>25</v>
      </c>
      <c r="E28" t="e">
        <f t="shared" si="1180"/>
        <v>#NAME?</v>
      </c>
      <c r="F28" t="e">
        <f t="shared" si="1191"/>
        <v>#NAME?</v>
      </c>
      <c r="V28">
        <f t="shared" si="1181"/>
        <v>25</v>
      </c>
      <c r="W28" t="e">
        <f t="shared" si="1182"/>
        <v>#NAME?</v>
      </c>
      <c r="X28" t="e">
        <f t="shared" si="1183"/>
        <v>#NAME?</v>
      </c>
      <c r="Y28" t="e">
        <f t="shared" si="1184"/>
        <v>#NAME?</v>
      </c>
      <c r="Z28" t="e">
        <f t="shared" si="1172"/>
        <v>#NAME?</v>
      </c>
      <c r="AA28" t="e">
        <f t="shared" si="1185"/>
        <v>#NAME?</v>
      </c>
      <c r="AB28" t="e">
        <f t="shared" si="1186"/>
        <v>#NAME?</v>
      </c>
      <c r="AD28">
        <f t="shared" si="1190"/>
        <v>25</v>
      </c>
      <c r="AE28">
        <f t="shared" si="1187"/>
        <v>7.5853602163456797</v>
      </c>
    </row>
    <row r="29">
      <c r="A29">
        <f t="shared" si="1188"/>
        <v>26</v>
      </c>
      <c r="B29">
        <v>10.978531861411668</v>
      </c>
      <c r="D29">
        <f t="shared" si="1189"/>
        <v>26</v>
      </c>
      <c r="E29" t="e">
        <f t="shared" si="1180"/>
        <v>#NAME?</v>
      </c>
      <c r="F29" t="e">
        <f t="shared" si="1191"/>
        <v>#NAME?</v>
      </c>
      <c r="V29">
        <f t="shared" si="1181"/>
        <v>26</v>
      </c>
      <c r="W29" t="e">
        <f t="shared" si="1182"/>
        <v>#NAME?</v>
      </c>
      <c r="X29" t="e">
        <f t="shared" si="1183"/>
        <v>#NAME?</v>
      </c>
      <c r="Y29" t="e">
        <f t="shared" si="1184"/>
        <v>#NAME?</v>
      </c>
      <c r="Z29" t="e">
        <f t="shared" si="1172"/>
        <v>#NAME?</v>
      </c>
      <c r="AA29" t="e">
        <f t="shared" si="1185"/>
        <v>#NAME?</v>
      </c>
      <c r="AB29" t="e">
        <f t="shared" si="1186"/>
        <v>#NAME?</v>
      </c>
      <c r="AD29">
        <f t="shared" si="1190"/>
        <v>26</v>
      </c>
      <c r="AE29">
        <f t="shared" si="1187"/>
        <v>10.9785318614117</v>
      </c>
    </row>
    <row r="30">
      <c r="A30">
        <f t="shared" si="1188"/>
        <v>27</v>
      </c>
      <c r="B30">
        <v>10.550225208625736</v>
      </c>
      <c r="D30">
        <f t="shared" si="1189"/>
        <v>27</v>
      </c>
      <c r="E30" t="e">
        <f t="shared" si="1180"/>
        <v>#NAME?</v>
      </c>
      <c r="F30" t="e">
        <f t="shared" si="1191"/>
        <v>#NAME?</v>
      </c>
      <c r="V30">
        <f t="shared" si="1181"/>
        <v>27</v>
      </c>
      <c r="W30" t="e">
        <f t="shared" si="1182"/>
        <v>#NAME?</v>
      </c>
      <c r="X30" t="e">
        <f t="shared" si="1183"/>
        <v>#NAME?</v>
      </c>
      <c r="Y30" t="e">
        <f t="shared" si="1184"/>
        <v>#NAME?</v>
      </c>
      <c r="Z30" t="e">
        <f t="shared" si="1172"/>
        <v>#NAME?</v>
      </c>
      <c r="AA30" t="e">
        <f t="shared" si="1185"/>
        <v>#NAME?</v>
      </c>
      <c r="AB30" t="e">
        <f t="shared" si="1186"/>
        <v>#NAME?</v>
      </c>
      <c r="AD30">
        <f t="shared" si="1190"/>
        <v>27</v>
      </c>
      <c r="AE30">
        <f t="shared" si="1187"/>
        <v>10.550225208625699</v>
      </c>
    </row>
    <row r="31">
      <c r="A31">
        <f t="shared" si="1188"/>
        <v>28</v>
      </c>
      <c r="B31">
        <v>11.227461431044995</v>
      </c>
      <c r="D31">
        <f t="shared" si="1189"/>
        <v>28</v>
      </c>
      <c r="E31" t="e">
        <f t="shared" si="1180"/>
        <v>#NAME?</v>
      </c>
      <c r="F31" t="e">
        <f t="shared" si="1191"/>
        <v>#NAME?</v>
      </c>
      <c r="V31">
        <f t="shared" si="1181"/>
        <v>28</v>
      </c>
      <c r="W31" t="e">
        <f t="shared" si="1182"/>
        <v>#NAME?</v>
      </c>
      <c r="X31" t="e">
        <f t="shared" si="1183"/>
        <v>#NAME?</v>
      </c>
      <c r="Y31" t="e">
        <f t="shared" si="1184"/>
        <v>#NAME?</v>
      </c>
      <c r="Z31" t="e">
        <f t="shared" si="1172"/>
        <v>#NAME?</v>
      </c>
      <c r="AA31" t="e">
        <f t="shared" si="1185"/>
        <v>#NAME?</v>
      </c>
      <c r="AB31" t="e">
        <f t="shared" si="1186"/>
        <v>#NAME?</v>
      </c>
      <c r="AD31">
        <f t="shared" si="1190"/>
        <v>28</v>
      </c>
      <c r="AE31">
        <f t="shared" si="1187"/>
        <v>11.227461431045</v>
      </c>
    </row>
    <row r="32">
      <c r="A32">
        <f t="shared" si="1188"/>
        <v>29</v>
      </c>
      <c r="B32">
        <v>9.0761713255316874</v>
      </c>
      <c r="D32">
        <f t="shared" si="1189"/>
        <v>29</v>
      </c>
      <c r="E32" t="e">
        <f t="shared" si="1180"/>
        <v>#NAME?</v>
      </c>
      <c r="F32" t="e">
        <f t="shared" si="1191"/>
        <v>#NAME?</v>
      </c>
      <c r="V32">
        <f t="shared" si="1181"/>
        <v>29</v>
      </c>
      <c r="W32" t="e">
        <f t="shared" si="1182"/>
        <v>#NAME?</v>
      </c>
      <c r="X32" t="e">
        <f t="shared" si="1183"/>
        <v>#NAME?</v>
      </c>
      <c r="Y32" t="e">
        <f t="shared" si="1184"/>
        <v>#NAME?</v>
      </c>
      <c r="Z32" t="e">
        <f t="shared" si="1172"/>
        <v>#NAME?</v>
      </c>
      <c r="AA32" t="e">
        <f t="shared" si="1185"/>
        <v>#NAME?</v>
      </c>
      <c r="AB32" t="e">
        <f t="shared" si="1186"/>
        <v>#NAME?</v>
      </c>
      <c r="AD32">
        <f t="shared" si="1190"/>
        <v>29</v>
      </c>
      <c r="AE32">
        <f t="shared" si="1187"/>
        <v>9.0761713255316891</v>
      </c>
    </row>
    <row r="33">
      <c r="A33">
        <f t="shared" si="1188"/>
        <v>30</v>
      </c>
      <c r="B33">
        <v>9.9094956509085357</v>
      </c>
      <c r="D33">
        <f t="shared" si="1189"/>
        <v>30</v>
      </c>
      <c r="E33" t="e">
        <f t="shared" si="1180"/>
        <v>#NAME?</v>
      </c>
      <c r="F33" t="e">
        <f t="shared" si="1191"/>
        <v>#NAME?</v>
      </c>
      <c r="V33">
        <f t="shared" si="1181"/>
        <v>30</v>
      </c>
      <c r="W33" t="e">
        <f t="shared" si="1182"/>
        <v>#NAME?</v>
      </c>
      <c r="X33" t="e">
        <f t="shared" si="1183"/>
        <v>#NAME?</v>
      </c>
      <c r="Y33" t="e">
        <f t="shared" si="1184"/>
        <v>#NAME?</v>
      </c>
      <c r="Z33" t="e">
        <f t="shared" si="1172"/>
        <v>#NAME?</v>
      </c>
      <c r="AA33" t="e">
        <f t="shared" si="1185"/>
        <v>#NAME?</v>
      </c>
      <c r="AB33" t="e">
        <f t="shared" si="1186"/>
        <v>#NAME?</v>
      </c>
      <c r="AD33">
        <f t="shared" si="1190"/>
        <v>30</v>
      </c>
      <c r="AE33">
        <f t="shared" si="1187"/>
        <v>9.9094956509085392</v>
      </c>
    </row>
    <row r="34">
      <c r="A34">
        <f t="shared" si="1188"/>
        <v>31</v>
      </c>
      <c r="B34">
        <v>11.683635570981137</v>
      </c>
      <c r="D34">
        <f t="shared" si="1189"/>
        <v>31</v>
      </c>
      <c r="E34" t="e">
        <f t="shared" si="1180"/>
        <v>#NAME?</v>
      </c>
      <c r="F34" t="e">
        <f t="shared" si="1191"/>
        <v>#NAME?</v>
      </c>
      <c r="V34">
        <f t="shared" si="1181"/>
        <v>31</v>
      </c>
      <c r="W34" t="e">
        <f t="shared" si="1182"/>
        <v>#NAME?</v>
      </c>
      <c r="X34" t="e">
        <f t="shared" si="1183"/>
        <v>#NAME?</v>
      </c>
      <c r="Y34" t="e">
        <f t="shared" si="1184"/>
        <v>#NAME?</v>
      </c>
      <c r="Z34" t="e">
        <f t="shared" si="1172"/>
        <v>#NAME?</v>
      </c>
      <c r="AA34" t="e">
        <f t="shared" si="1185"/>
        <v>#NAME?</v>
      </c>
      <c r="AB34" t="e">
        <f t="shared" si="1186"/>
        <v>#NAME?</v>
      </c>
      <c r="AD34">
        <f t="shared" si="1190"/>
        <v>31</v>
      </c>
      <c r="AE34">
        <f t="shared" si="1187"/>
        <v>11.6836355709811</v>
      </c>
    </row>
    <row r="35">
      <c r="A35">
        <f t="shared" si="1188"/>
        <v>32</v>
      </c>
      <c r="B35">
        <v>9.3891181090456559</v>
      </c>
      <c r="D35">
        <f t="shared" si="1189"/>
        <v>32</v>
      </c>
      <c r="E35" t="e">
        <f t="shared" si="1180"/>
        <v>#NAME?</v>
      </c>
      <c r="F35" t="e">
        <f t="shared" si="1191"/>
        <v>#NAME?</v>
      </c>
      <c r="V35">
        <f t="shared" si="1181"/>
        <v>32</v>
      </c>
      <c r="W35" t="e">
        <f t="shared" si="1182"/>
        <v>#NAME?</v>
      </c>
      <c r="X35" t="e">
        <f t="shared" si="1183"/>
        <v>#NAME?</v>
      </c>
      <c r="Y35" t="e">
        <f t="shared" si="1184"/>
        <v>#NAME?</v>
      </c>
      <c r="Z35" t="e">
        <f t="shared" si="1172"/>
        <v>#NAME?</v>
      </c>
      <c r="AA35" t="e">
        <f t="shared" si="1185"/>
        <v>#NAME?</v>
      </c>
      <c r="AB35" t="e">
        <f t="shared" si="1186"/>
        <v>#NAME?</v>
      </c>
      <c r="AD35">
        <f t="shared" si="1190"/>
        <v>32</v>
      </c>
      <c r="AE35">
        <f t="shared" si="1187"/>
        <v>9.3891181090456595</v>
      </c>
    </row>
    <row r="36">
      <c r="A36">
        <f t="shared" si="1188"/>
        <v>33</v>
      </c>
      <c r="B36">
        <v>11.280967352963559</v>
      </c>
      <c r="D36">
        <f t="shared" si="1189"/>
        <v>33</v>
      </c>
      <c r="E36" t="e">
        <f t="shared" si="1180"/>
        <v>#NAME?</v>
      </c>
      <c r="F36" t="e">
        <f t="shared" si="1191"/>
        <v>#NAME?</v>
      </c>
      <c r="V36">
        <f t="shared" si="1181"/>
        <v>33</v>
      </c>
      <c r="W36" t="e">
        <f t="shared" si="1182"/>
        <v>#NAME?</v>
      </c>
      <c r="X36" t="e">
        <f t="shared" si="1183"/>
        <v>#NAME?</v>
      </c>
      <c r="Y36" t="e">
        <f t="shared" si="1184"/>
        <v>#NAME?</v>
      </c>
      <c r="Z36" t="e">
        <f t="shared" si="1172"/>
        <v>#NAME?</v>
      </c>
      <c r="AA36" t="e">
        <f t="shared" si="1185"/>
        <v>#NAME?</v>
      </c>
      <c r="AB36" t="e">
        <f t="shared" si="1186"/>
        <v>#NAME?</v>
      </c>
      <c r="AD36">
        <f t="shared" si="1190"/>
        <v>33</v>
      </c>
      <c r="AE36">
        <f t="shared" si="1187"/>
        <v>11.2809673529636</v>
      </c>
    </row>
    <row r="37">
      <c r="A37">
        <f t="shared" si="1188"/>
        <v>34</v>
      </c>
      <c r="B37">
        <v>9.0777000543373685</v>
      </c>
      <c r="D37">
        <f t="shared" si="1189"/>
        <v>34</v>
      </c>
      <c r="E37" t="e">
        <f t="shared" si="1180"/>
        <v>#NAME?</v>
      </c>
      <c r="F37" t="e">
        <f t="shared" si="1191"/>
        <v>#NAME?</v>
      </c>
      <c r="V37">
        <f t="shared" si="1181"/>
        <v>34</v>
      </c>
      <c r="W37" t="e">
        <f t="shared" si="1182"/>
        <v>#NAME?</v>
      </c>
      <c r="X37" t="e">
        <f t="shared" si="1183"/>
        <v>#NAME?</v>
      </c>
      <c r="Y37" t="e">
        <f t="shared" si="1184"/>
        <v>#NAME?</v>
      </c>
      <c r="Z37" t="e">
        <f t="shared" si="1172"/>
        <v>#NAME?</v>
      </c>
      <c r="AA37" t="e">
        <f t="shared" si="1185"/>
        <v>#NAME?</v>
      </c>
      <c r="AB37" t="e">
        <f t="shared" si="1186"/>
        <v>#NAME?</v>
      </c>
      <c r="AD37">
        <f t="shared" si="1190"/>
        <v>34</v>
      </c>
      <c r="AE37">
        <f t="shared" si="1187"/>
        <v>9.0777000543373703</v>
      </c>
    </row>
    <row r="38">
      <c r="A38">
        <f t="shared" si="1188"/>
        <v>35</v>
      </c>
      <c r="B38">
        <v>9.4218520797101899</v>
      </c>
      <c r="D38">
        <f t="shared" si="1189"/>
        <v>35</v>
      </c>
      <c r="E38" t="e">
        <f t="shared" si="1180"/>
        <v>#NAME?</v>
      </c>
      <c r="F38" t="e">
        <f t="shared" si="1191"/>
        <v>#NAME?</v>
      </c>
      <c r="V38">
        <f t="shared" si="1181"/>
        <v>35</v>
      </c>
      <c r="W38" t="e">
        <f t="shared" si="1182"/>
        <v>#NAME?</v>
      </c>
      <c r="X38" t="e">
        <f t="shared" si="1183"/>
        <v>#NAME?</v>
      </c>
      <c r="Y38" t="e">
        <f t="shared" si="1184"/>
        <v>#NAME?</v>
      </c>
      <c r="Z38" t="e">
        <f t="shared" si="1172"/>
        <v>#NAME?</v>
      </c>
      <c r="AA38" t="e">
        <f t="shared" si="1185"/>
        <v>#NAME?</v>
      </c>
      <c r="AB38" t="e">
        <f t="shared" si="1186"/>
        <v>#NAME?</v>
      </c>
      <c r="AD38">
        <f t="shared" si="1190"/>
        <v>35</v>
      </c>
      <c r="AE38">
        <f t="shared" si="1187"/>
        <v>9.4218520797101899</v>
      </c>
    </row>
    <row r="39">
      <c r="A39">
        <f t="shared" si="1188"/>
        <v>36</v>
      </c>
      <c r="B39">
        <v>10.768670766726222</v>
      </c>
      <c r="D39">
        <f t="shared" si="1189"/>
        <v>36</v>
      </c>
      <c r="E39" t="e">
        <f t="shared" si="1180"/>
        <v>#NAME?</v>
      </c>
      <c r="F39" t="e">
        <f t="shared" si="1191"/>
        <v>#NAME?</v>
      </c>
      <c r="V39">
        <f t="shared" si="1181"/>
        <v>36</v>
      </c>
      <c r="W39" t="e">
        <f t="shared" si="1182"/>
        <v>#NAME?</v>
      </c>
      <c r="X39" t="e">
        <f t="shared" si="1183"/>
        <v>#NAME?</v>
      </c>
      <c r="Y39" t="e">
        <f t="shared" si="1184"/>
        <v>#NAME?</v>
      </c>
      <c r="Z39" t="e">
        <f t="shared" si="1172"/>
        <v>#NAME?</v>
      </c>
      <c r="AA39" t="e">
        <f t="shared" si="1185"/>
        <v>#NAME?</v>
      </c>
      <c r="AB39" t="e">
        <f t="shared" si="1186"/>
        <v>#NAME?</v>
      </c>
      <c r="AD39">
        <f t="shared" si="1190"/>
        <v>36</v>
      </c>
      <c r="AE39">
        <f t="shared" si="1187"/>
        <v>10.768670766726199</v>
      </c>
    </row>
    <row r="40">
      <c r="A40">
        <f t="shared" si="1188"/>
        <v>37</v>
      </c>
      <c r="B40">
        <v>10.044686426220611</v>
      </c>
      <c r="D40">
        <f t="shared" si="1189"/>
        <v>37</v>
      </c>
      <c r="E40" t="e">
        <f t="shared" si="1180"/>
        <v>#NAME?</v>
      </c>
      <c r="F40" t="e">
        <f t="shared" si="1191"/>
        <v>#NAME?</v>
      </c>
      <c r="V40">
        <f t="shared" si="1181"/>
        <v>37</v>
      </c>
      <c r="W40" t="e">
        <f t="shared" si="1182"/>
        <v>#NAME?</v>
      </c>
      <c r="X40" t="e">
        <f t="shared" si="1183"/>
        <v>#NAME?</v>
      </c>
      <c r="Y40" t="e">
        <f t="shared" si="1184"/>
        <v>#NAME?</v>
      </c>
      <c r="Z40" t="e">
        <f t="shared" si="1172"/>
        <v>#NAME?</v>
      </c>
      <c r="AA40" t="e">
        <f t="shared" si="1185"/>
        <v>#NAME?</v>
      </c>
      <c r="AB40" t="e">
        <f t="shared" si="1186"/>
        <v>#NAME?</v>
      </c>
      <c r="AD40">
        <f t="shared" si="1190"/>
        <v>37</v>
      </c>
      <c r="AE40">
        <f t="shared" si="1187"/>
        <v>10.044686426220601</v>
      </c>
    </row>
    <row r="41">
      <c r="A41">
        <f t="shared" si="1188"/>
        <v>38</v>
      </c>
      <c r="B41">
        <v>9.5026475408720934</v>
      </c>
      <c r="D41">
        <f t="shared" si="1189"/>
        <v>38</v>
      </c>
      <c r="E41" t="e">
        <f t="shared" si="1180"/>
        <v>#NAME?</v>
      </c>
      <c r="F41" t="e">
        <f t="shared" si="1191"/>
        <v>#NAME?</v>
      </c>
      <c r="V41">
        <f t="shared" si="1181"/>
        <v>38</v>
      </c>
      <c r="W41" t="e">
        <f t="shared" si="1182"/>
        <v>#NAME?</v>
      </c>
      <c r="X41" t="e">
        <f t="shared" si="1183"/>
        <v>#NAME?</v>
      </c>
      <c r="Y41" t="e">
        <f t="shared" si="1184"/>
        <v>#NAME?</v>
      </c>
      <c r="Z41" t="e">
        <f t="shared" si="1172"/>
        <v>#NAME?</v>
      </c>
      <c r="AA41" t="e">
        <f t="shared" si="1185"/>
        <v>#NAME?</v>
      </c>
      <c r="AB41" t="e">
        <f t="shared" si="1186"/>
        <v>#NAME?</v>
      </c>
      <c r="AD41">
        <f t="shared" si="1190"/>
        <v>38</v>
      </c>
      <c r="AE41">
        <f t="shared" si="1187"/>
        <v>9.5026475408721005</v>
      </c>
    </row>
    <row r="42">
      <c r="A42">
        <f t="shared" si="1188"/>
        <v>39</v>
      </c>
      <c r="B42">
        <v>12.016635145209888</v>
      </c>
      <c r="D42">
        <f t="shared" si="1189"/>
        <v>39</v>
      </c>
      <c r="E42" t="e">
        <f t="shared" si="1180"/>
        <v>#NAME?</v>
      </c>
      <c r="F42" t="e">
        <f t="shared" si="1191"/>
        <v>#NAME?</v>
      </c>
      <c r="V42">
        <f t="shared" si="1181"/>
        <v>39</v>
      </c>
      <c r="W42" t="e">
        <f t="shared" si="1182"/>
        <v>#NAME?</v>
      </c>
      <c r="X42" t="e">
        <f t="shared" si="1183"/>
        <v>#NAME?</v>
      </c>
      <c r="Y42" t="e">
        <f t="shared" si="1184"/>
        <v>#NAME?</v>
      </c>
      <c r="Z42" t="e">
        <f t="shared" si="1172"/>
        <v>#NAME?</v>
      </c>
      <c r="AA42" t="e">
        <f t="shared" si="1185"/>
        <v>#NAME?</v>
      </c>
      <c r="AB42" t="e">
        <f t="shared" si="1186"/>
        <v>#NAME?</v>
      </c>
      <c r="AD42">
        <f t="shared" si="1190"/>
        <v>39</v>
      </c>
      <c r="AE42">
        <f t="shared" si="1187"/>
        <v>12.0166351452099</v>
      </c>
    </row>
    <row r="43">
      <c r="A43">
        <f t="shared" si="1188"/>
        <v>40</v>
      </c>
      <c r="B43">
        <v>9.6075824244635548</v>
      </c>
      <c r="D43">
        <f t="shared" si="1189"/>
        <v>40</v>
      </c>
      <c r="E43" t="e">
        <f t="shared" si="1180"/>
        <v>#NAME?</v>
      </c>
      <c r="F43" t="e">
        <f t="shared" si="1191"/>
        <v>#NAME?</v>
      </c>
      <c r="V43">
        <f t="shared" si="1181"/>
        <v>40</v>
      </c>
      <c r="W43" t="e">
        <f t="shared" si="1182"/>
        <v>#NAME?</v>
      </c>
      <c r="X43" t="e">
        <f t="shared" si="1183"/>
        <v>#NAME?</v>
      </c>
      <c r="Y43" t="e">
        <f t="shared" si="1184"/>
        <v>#NAME?</v>
      </c>
      <c r="Z43" t="e">
        <f t="shared" si="1172"/>
        <v>#NAME?</v>
      </c>
      <c r="AA43" t="e">
        <f t="shared" si="1185"/>
        <v>#NAME?</v>
      </c>
      <c r="AB43" t="e">
        <f t="shared" si="1186"/>
        <v>#NAME?</v>
      </c>
      <c r="AD43">
        <f t="shared" si="1190"/>
        <v>40</v>
      </c>
      <c r="AE43">
        <f t="shared" si="1187"/>
        <v>9.6075824244635601</v>
      </c>
    </row>
    <row r="44">
      <c r="A44">
        <f t="shared" si="1188"/>
        <v>41</v>
      </c>
      <c r="B44">
        <v>10.47879870661002</v>
      </c>
      <c r="D44">
        <f t="shared" si="1189"/>
        <v>41</v>
      </c>
      <c r="E44" t="e">
        <f t="shared" si="1180"/>
        <v>#NAME?</v>
      </c>
      <c r="F44" t="e">
        <f t="shared" si="1191"/>
        <v>#NAME?</v>
      </c>
      <c r="V44">
        <f t="shared" si="1181"/>
        <v>41</v>
      </c>
      <c r="W44" t="e">
        <f t="shared" si="1182"/>
        <v>#NAME?</v>
      </c>
      <c r="X44" t="e">
        <f t="shared" si="1183"/>
        <v>#NAME?</v>
      </c>
      <c r="Y44" t="e">
        <f t="shared" si="1184"/>
        <v>#NAME?</v>
      </c>
      <c r="Z44" t="e">
        <f t="shared" si="1172"/>
        <v>#NAME?</v>
      </c>
      <c r="AA44" t="e">
        <f t="shared" si="1185"/>
        <v>#NAME?</v>
      </c>
      <c r="AB44" t="e">
        <f t="shared" si="1186"/>
        <v>#NAME?</v>
      </c>
      <c r="AD44">
        <f t="shared" si="1190"/>
        <v>41</v>
      </c>
      <c r="AE44">
        <f t="shared" si="1187"/>
        <v>10.47879870661</v>
      </c>
    </row>
    <row r="45">
      <c r="A45">
        <f t="shared" si="1188"/>
        <v>42</v>
      </c>
      <c r="B45">
        <v>10.131145996118136</v>
      </c>
      <c r="D45">
        <f t="shared" si="1189"/>
        <v>42</v>
      </c>
      <c r="E45" t="e">
        <f t="shared" si="1180"/>
        <v>#NAME?</v>
      </c>
      <c r="F45" t="e">
        <f t="shared" si="1191"/>
        <v>#NAME?</v>
      </c>
      <c r="V45">
        <f t="shared" si="1181"/>
        <v>42</v>
      </c>
      <c r="W45" t="e">
        <f t="shared" si="1182"/>
        <v>#NAME?</v>
      </c>
      <c r="X45" t="e">
        <f t="shared" si="1183"/>
        <v>#NAME?</v>
      </c>
      <c r="Y45" t="e">
        <f t="shared" si="1184"/>
        <v>#NAME?</v>
      </c>
      <c r="Z45" t="e">
        <f t="shared" si="1172"/>
        <v>#NAME?</v>
      </c>
      <c r="AA45" t="e">
        <f t="shared" si="1185"/>
        <v>#NAME?</v>
      </c>
      <c r="AB45" t="e">
        <f t="shared" si="1186"/>
        <v>#NAME?</v>
      </c>
      <c r="AD45">
        <f t="shared" si="1190"/>
        <v>42</v>
      </c>
      <c r="AE45">
        <f t="shared" si="1187"/>
        <v>10.1311459961181</v>
      </c>
    </row>
    <row r="46">
      <c r="A46">
        <f t="shared" si="1188"/>
        <v>43</v>
      </c>
      <c r="B46">
        <v>9.3102529930939451</v>
      </c>
      <c r="D46">
        <f t="shared" si="1189"/>
        <v>43</v>
      </c>
      <c r="E46" t="e">
        <f t="shared" si="1180"/>
        <v>#NAME?</v>
      </c>
      <c r="F46" t="e">
        <f t="shared" si="1191"/>
        <v>#NAME?</v>
      </c>
      <c r="V46">
        <f t="shared" si="1181"/>
        <v>43</v>
      </c>
      <c r="W46" t="e">
        <f t="shared" si="1182"/>
        <v>#NAME?</v>
      </c>
      <c r="X46" t="e">
        <f t="shared" si="1183"/>
        <v>#NAME?</v>
      </c>
      <c r="Y46" t="e">
        <f t="shared" si="1184"/>
        <v>#NAME?</v>
      </c>
      <c r="Z46" t="e">
        <f t="shared" si="1172"/>
        <v>#NAME?</v>
      </c>
      <c r="AA46" t="e">
        <f t="shared" si="1185"/>
        <v>#NAME?</v>
      </c>
      <c r="AB46" t="e">
        <f t="shared" si="1186"/>
        <v>#NAME?</v>
      </c>
      <c r="AD46">
        <f t="shared" si="1190"/>
        <v>43</v>
      </c>
      <c r="AE46">
        <f t="shared" si="1187"/>
        <v>9.3102529930939504</v>
      </c>
    </row>
    <row r="47">
      <c r="A47">
        <f t="shared" si="1188"/>
        <v>44</v>
      </c>
      <c r="B47">
        <v>9.9532374569799149</v>
      </c>
      <c r="D47">
        <f t="shared" si="1189"/>
        <v>44</v>
      </c>
      <c r="E47" t="e">
        <f t="shared" si="1180"/>
        <v>#NAME?</v>
      </c>
      <c r="F47" t="e">
        <f t="shared" si="1191"/>
        <v>#NAME?</v>
      </c>
      <c r="V47">
        <f t="shared" si="1181"/>
        <v>44</v>
      </c>
      <c r="W47" t="e">
        <f t="shared" si="1182"/>
        <v>#NAME?</v>
      </c>
      <c r="X47" t="e">
        <f t="shared" si="1183"/>
        <v>#NAME?</v>
      </c>
      <c r="Y47" t="e">
        <f t="shared" si="1184"/>
        <v>#NAME?</v>
      </c>
      <c r="Z47" t="e">
        <f t="shared" si="1172"/>
        <v>#NAME?</v>
      </c>
      <c r="AA47" t="e">
        <f t="shared" si="1185"/>
        <v>#NAME?</v>
      </c>
      <c r="AB47" t="e">
        <f t="shared" si="1186"/>
        <v>#NAME?</v>
      </c>
      <c r="AD47">
        <f t="shared" si="1190"/>
        <v>44</v>
      </c>
      <c r="AE47">
        <f t="shared" si="1187"/>
        <v>9.9532374569799202</v>
      </c>
    </row>
    <row r="48">
      <c r="A48">
        <f t="shared" si="1188"/>
        <v>45</v>
      </c>
      <c r="B48">
        <v>9.9320829740295604</v>
      </c>
      <c r="D48">
        <f t="shared" si="1189"/>
        <v>45</v>
      </c>
      <c r="E48" t="e">
        <f t="shared" si="1180"/>
        <v>#NAME?</v>
      </c>
      <c r="F48" t="e">
        <f t="shared" si="1191"/>
        <v>#NAME?</v>
      </c>
      <c r="V48">
        <f t="shared" si="1181"/>
        <v>45</v>
      </c>
      <c r="W48" t="e">
        <f t="shared" si="1182"/>
        <v>#NAME?</v>
      </c>
      <c r="X48" t="e">
        <f t="shared" si="1183"/>
        <v>#NAME?</v>
      </c>
      <c r="Y48" t="e">
        <f t="shared" si="1184"/>
        <v>#NAME?</v>
      </c>
      <c r="Z48" t="e">
        <f t="shared" si="1172"/>
        <v>#NAME?</v>
      </c>
      <c r="AA48" t="e">
        <f t="shared" si="1185"/>
        <v>#NAME?</v>
      </c>
      <c r="AB48" t="e">
        <f t="shared" si="1186"/>
        <v>#NAME?</v>
      </c>
      <c r="AD48">
        <f t="shared" si="1190"/>
        <v>45</v>
      </c>
      <c r="AE48">
        <f t="shared" si="1187"/>
        <v>9.9320829740295604</v>
      </c>
    </row>
    <row r="49">
      <c r="A49">
        <f t="shared" si="1188"/>
        <v>46</v>
      </c>
      <c r="B49">
        <v>11.635101979488615</v>
      </c>
      <c r="D49">
        <f t="shared" si="1189"/>
        <v>46</v>
      </c>
      <c r="E49" t="e">
        <f t="shared" si="1180"/>
        <v>#NAME?</v>
      </c>
      <c r="F49" t="e">
        <f t="shared" si="1191"/>
        <v>#NAME?</v>
      </c>
      <c r="V49">
        <f t="shared" si="1181"/>
        <v>46</v>
      </c>
      <c r="W49" t="e">
        <f t="shared" si="1182"/>
        <v>#NAME?</v>
      </c>
      <c r="X49" t="e">
        <f t="shared" si="1183"/>
        <v>#NAME?</v>
      </c>
      <c r="Y49" t="e">
        <f t="shared" si="1184"/>
        <v>#NAME?</v>
      </c>
      <c r="Z49" t="e">
        <f t="shared" si="1172"/>
        <v>#NAME?</v>
      </c>
      <c r="AA49" t="e">
        <f t="shared" si="1185"/>
        <v>#NAME?</v>
      </c>
      <c r="AB49" t="e">
        <f t="shared" si="1186"/>
        <v>#NAME?</v>
      </c>
      <c r="AD49">
        <f t="shared" si="1190"/>
        <v>46</v>
      </c>
      <c r="AE49">
        <f t="shared" si="1187"/>
        <v>11.635101979488599</v>
      </c>
    </row>
    <row r="50">
      <c r="A50">
        <f t="shared" si="1188"/>
        <v>47</v>
      </c>
      <c r="B50">
        <v>10.428242822398191</v>
      </c>
      <c r="D50">
        <f t="shared" si="1189"/>
        <v>47</v>
      </c>
      <c r="E50" t="e">
        <f t="shared" si="1180"/>
        <v>#NAME?</v>
      </c>
      <c r="F50" t="e">
        <f t="shared" si="1191"/>
        <v>#NAME?</v>
      </c>
      <c r="V50">
        <f t="shared" si="1181"/>
        <v>47</v>
      </c>
      <c r="W50" t="e">
        <f t="shared" si="1182"/>
        <v>#NAME?</v>
      </c>
      <c r="X50" t="e">
        <f t="shared" si="1183"/>
        <v>#NAME?</v>
      </c>
      <c r="Y50" t="e">
        <f t="shared" si="1184"/>
        <v>#NAME?</v>
      </c>
      <c r="Z50" t="e">
        <f t="shared" si="1172"/>
        <v>#NAME?</v>
      </c>
      <c r="AA50" t="e">
        <f t="shared" si="1185"/>
        <v>#NAME?</v>
      </c>
      <c r="AB50" t="e">
        <f t="shared" si="1186"/>
        <v>#NAME?</v>
      </c>
      <c r="AD50">
        <f t="shared" si="1190"/>
        <v>47</v>
      </c>
      <c r="AE50">
        <f t="shared" si="1187"/>
        <v>10.4282428223982</v>
      </c>
    </row>
    <row r="51">
      <c r="A51">
        <f t="shared" si="1188"/>
        <v>48</v>
      </c>
      <c r="B51">
        <v>9.6942306857497602</v>
      </c>
      <c r="D51">
        <f t="shared" si="1189"/>
        <v>48</v>
      </c>
      <c r="E51" t="e">
        <f t="shared" si="1180"/>
        <v>#NAME?</v>
      </c>
      <c r="F51" t="e">
        <f t="shared" si="1191"/>
        <v>#NAME?</v>
      </c>
      <c r="V51">
        <f t="shared" si="1181"/>
        <v>48</v>
      </c>
      <c r="W51" t="e">
        <f t="shared" si="1182"/>
        <v>#NAME?</v>
      </c>
      <c r="X51" t="e">
        <f t="shared" si="1183"/>
        <v>#NAME?</v>
      </c>
      <c r="Y51" t="e">
        <f t="shared" si="1184"/>
        <v>#NAME?</v>
      </c>
      <c r="Z51" t="e">
        <f t="shared" si="1172"/>
        <v>#NAME?</v>
      </c>
      <c r="AA51" t="e">
        <f t="shared" si="1185"/>
        <v>#NAME?</v>
      </c>
      <c r="AB51" t="e">
        <f t="shared" si="1186"/>
        <v>#NAME?</v>
      </c>
      <c r="AD51">
        <f t="shared" si="1190"/>
        <v>48</v>
      </c>
      <c r="AE51">
        <f t="shared" si="1187"/>
        <v>9.6942306857497602</v>
      </c>
    </row>
    <row r="52">
      <c r="A52">
        <f t="shared" si="1188"/>
        <v>49</v>
      </c>
      <c r="B52">
        <v>10.169036752376758</v>
      </c>
      <c r="D52">
        <f t="shared" si="1189"/>
        <v>49</v>
      </c>
      <c r="E52" t="e">
        <f t="shared" si="1180"/>
        <v>#NAME?</v>
      </c>
      <c r="F52" t="e">
        <f t="shared" si="1191"/>
        <v>#NAME?</v>
      </c>
      <c r="V52">
        <f t="shared" si="1181"/>
        <v>49</v>
      </c>
      <c r="W52" t="e">
        <f t="shared" si="1182"/>
        <v>#NAME?</v>
      </c>
      <c r="X52" t="e">
        <f t="shared" si="1183"/>
        <v>#NAME?</v>
      </c>
      <c r="Y52" t="e">
        <f t="shared" si="1184"/>
        <v>#NAME?</v>
      </c>
      <c r="Z52" t="e">
        <f t="shared" si="1172"/>
        <v>#NAME?</v>
      </c>
      <c r="AA52" t="e">
        <f t="shared" si="1185"/>
        <v>#NAME?</v>
      </c>
      <c r="AB52" t="e">
        <f t="shared" si="1186"/>
        <v>#NAME?</v>
      </c>
      <c r="AD52">
        <f t="shared" si="1190"/>
        <v>49</v>
      </c>
      <c r="AE52">
        <f t="shared" si="1187"/>
        <v>10.169036752376799</v>
      </c>
    </row>
    <row r="53">
      <c r="A53">
        <f t="shared" si="1188"/>
        <v>50</v>
      </c>
      <c r="B53">
        <v>10.486655712590014</v>
      </c>
      <c r="D53">
        <f t="shared" si="1189"/>
        <v>50</v>
      </c>
      <c r="E53" t="e">
        <f t="shared" si="1180"/>
        <v>#NAME?</v>
      </c>
      <c r="F53" t="e">
        <f t="shared" si="1191"/>
        <v>#NAME?</v>
      </c>
      <c r="V53">
        <f t="shared" si="1181"/>
        <v>50</v>
      </c>
      <c r="W53" t="e">
        <f t="shared" si="1182"/>
        <v>#NAME?</v>
      </c>
      <c r="X53" t="e">
        <f t="shared" si="1183"/>
        <v>#NAME?</v>
      </c>
      <c r="Y53" t="e">
        <f t="shared" si="1184"/>
        <v>#NAME?</v>
      </c>
      <c r="Z53" t="e">
        <f t="shared" si="1172"/>
        <v>#NAME?</v>
      </c>
      <c r="AA53" t="e">
        <f t="shared" si="1185"/>
        <v>#NAME?</v>
      </c>
      <c r="AB53" t="e">
        <f t="shared" si="1186"/>
        <v>#NAME?</v>
      </c>
      <c r="AD53">
        <f t="shared" si="1190"/>
        <v>50</v>
      </c>
      <c r="AE53">
        <f t="shared" si="1187"/>
        <v>10.48665571259</v>
      </c>
    </row>
    <row r="54">
      <c r="A54">
        <f t="shared" si="1188"/>
        <v>51</v>
      </c>
      <c r="B54">
        <v>10.656149640052815</v>
      </c>
      <c r="D54">
        <f t="shared" si="1189"/>
        <v>51</v>
      </c>
      <c r="E54" t="e">
        <f t="shared" si="1180"/>
        <v>#NAME?</v>
      </c>
      <c r="F54" t="e">
        <f t="shared" si="1191"/>
        <v>#NAME?</v>
      </c>
      <c r="V54">
        <f t="shared" si="1181"/>
        <v>51</v>
      </c>
      <c r="W54" t="e">
        <f t="shared" si="1182"/>
        <v>#NAME?</v>
      </c>
      <c r="X54" t="e">
        <f t="shared" si="1183"/>
        <v>#NAME?</v>
      </c>
      <c r="Y54" t="e">
        <f t="shared" si="1184"/>
        <v>#NAME?</v>
      </c>
      <c r="Z54" t="e">
        <f t="shared" si="1172"/>
        <v>#NAME?</v>
      </c>
      <c r="AA54" t="e">
        <f t="shared" si="1185"/>
        <v>#NAME?</v>
      </c>
      <c r="AB54" t="e">
        <f t="shared" si="1186"/>
        <v>#NAME?</v>
      </c>
      <c r="AD54">
        <f t="shared" si="1190"/>
        <v>51</v>
      </c>
      <c r="AE54">
        <f t="shared" si="1187"/>
        <v>10.656149640052799</v>
      </c>
    </row>
    <row r="55">
      <c r="A55">
        <f t="shared" si="1188"/>
        <v>52</v>
      </c>
      <c r="B55">
        <v>10.129317566616013</v>
      </c>
      <c r="D55">
        <f t="shared" si="1189"/>
        <v>52</v>
      </c>
      <c r="E55" t="e">
        <f t="shared" si="1180"/>
        <v>#NAME?</v>
      </c>
      <c r="F55" t="e">
        <f t="shared" si="1191"/>
        <v>#NAME?</v>
      </c>
      <c r="V55">
        <f t="shared" si="1181"/>
        <v>52</v>
      </c>
      <c r="W55" t="e">
        <f t="shared" si="1182"/>
        <v>#NAME?</v>
      </c>
      <c r="X55" t="e">
        <f t="shared" si="1183"/>
        <v>#NAME?</v>
      </c>
      <c r="Y55" t="e">
        <f t="shared" si="1184"/>
        <v>#NAME?</v>
      </c>
      <c r="Z55" t="e">
        <f t="shared" si="1172"/>
        <v>#NAME?</v>
      </c>
      <c r="AA55" t="e">
        <f t="shared" si="1185"/>
        <v>#NAME?</v>
      </c>
      <c r="AB55" t="e">
        <f t="shared" si="1186"/>
        <v>#NAME?</v>
      </c>
      <c r="AD55">
        <f t="shared" si="1190"/>
        <v>52</v>
      </c>
      <c r="AE55">
        <f t="shared" si="1187"/>
        <v>10.129317566616001</v>
      </c>
    </row>
    <row r="56">
      <c r="A56">
        <f t="shared" si="1188"/>
        <v>53</v>
      </c>
      <c r="B56">
        <v>8.9663057524182062</v>
      </c>
      <c r="D56">
        <f t="shared" si="1189"/>
        <v>53</v>
      </c>
      <c r="E56" t="e">
        <f t="shared" si="1180"/>
        <v>#NAME?</v>
      </c>
      <c r="F56" t="e">
        <f t="shared" si="1191"/>
        <v>#NAME?</v>
      </c>
      <c r="V56">
        <f t="shared" si="1181"/>
        <v>53</v>
      </c>
      <c r="W56" t="e">
        <f t="shared" si="1182"/>
        <v>#NAME?</v>
      </c>
      <c r="X56" t="e">
        <f t="shared" si="1183"/>
        <v>#NAME?</v>
      </c>
      <c r="Y56" t="e">
        <f t="shared" si="1184"/>
        <v>#NAME?</v>
      </c>
      <c r="Z56" t="e">
        <f t="shared" si="1172"/>
        <v>#NAME?</v>
      </c>
      <c r="AA56" t="e">
        <f t="shared" si="1185"/>
        <v>#NAME?</v>
      </c>
      <c r="AB56" t="e">
        <f t="shared" si="1186"/>
        <v>#NAME?</v>
      </c>
      <c r="AD56">
        <f t="shared" si="1190"/>
        <v>53</v>
      </c>
      <c r="AE56">
        <f t="shared" si="1187"/>
        <v>8.9663057524182097</v>
      </c>
    </row>
    <row r="57">
      <c r="A57">
        <f t="shared" si="1188"/>
        <v>54</v>
      </c>
      <c r="B57">
        <v>8.1067514389924806</v>
      </c>
      <c r="D57">
        <f t="shared" si="1189"/>
        <v>54</v>
      </c>
      <c r="E57" t="e">
        <f t="shared" si="1180"/>
        <v>#NAME?</v>
      </c>
      <c r="F57" t="e">
        <f t="shared" si="1191"/>
        <v>#NAME?</v>
      </c>
      <c r="V57">
        <f t="shared" si="1181"/>
        <v>54</v>
      </c>
      <c r="W57" t="e">
        <f t="shared" si="1182"/>
        <v>#NAME?</v>
      </c>
      <c r="X57" t="e">
        <f t="shared" si="1183"/>
        <v>#NAME?</v>
      </c>
      <c r="Y57" t="e">
        <f t="shared" si="1184"/>
        <v>#NAME?</v>
      </c>
      <c r="Z57" t="e">
        <f t="shared" si="1172"/>
        <v>#NAME?</v>
      </c>
      <c r="AA57" t="e">
        <f t="shared" si="1185"/>
        <v>#NAME?</v>
      </c>
      <c r="AB57" t="e">
        <f t="shared" si="1186"/>
        <v>#NAME?</v>
      </c>
      <c r="AD57">
        <f t="shared" si="1190"/>
        <v>54</v>
      </c>
      <c r="AE57">
        <f t="shared" si="1187"/>
        <v>8.1067514389924806</v>
      </c>
    </row>
    <row r="58">
      <c r="A58">
        <f t="shared" si="1188"/>
        <v>55</v>
      </c>
      <c r="B58">
        <v>8.6738987578515001</v>
      </c>
      <c r="D58">
        <f t="shared" si="1189"/>
        <v>55</v>
      </c>
      <c r="E58" t="e">
        <f t="shared" si="1180"/>
        <v>#NAME?</v>
      </c>
      <c r="F58" t="e">
        <f t="shared" si="1191"/>
        <v>#NAME?</v>
      </c>
      <c r="V58">
        <f t="shared" si="1181"/>
        <v>55</v>
      </c>
      <c r="W58" t="e">
        <f t="shared" si="1182"/>
        <v>#NAME?</v>
      </c>
      <c r="X58" t="e">
        <f t="shared" si="1183"/>
        <v>#NAME?</v>
      </c>
      <c r="Y58" t="e">
        <f t="shared" si="1184"/>
        <v>#NAME?</v>
      </c>
      <c r="Z58" t="e">
        <f t="shared" si="1172"/>
        <v>#NAME?</v>
      </c>
      <c r="AA58" t="e">
        <f t="shared" si="1185"/>
        <v>#NAME?</v>
      </c>
      <c r="AB58" t="e">
        <f t="shared" si="1186"/>
        <v>#NAME?</v>
      </c>
      <c r="AD58">
        <f t="shared" si="1190"/>
        <v>55</v>
      </c>
      <c r="AE58">
        <f t="shared" si="1187"/>
        <v>8.6738987578515001</v>
      </c>
    </row>
    <row r="59">
      <c r="A59">
        <f t="shared" si="1188"/>
        <v>56</v>
      </c>
      <c r="B59">
        <v>8.7398621237592646</v>
      </c>
      <c r="D59">
        <f t="shared" si="1189"/>
        <v>56</v>
      </c>
      <c r="E59" t="e">
        <f t="shared" si="1180"/>
        <v>#NAME?</v>
      </c>
      <c r="F59" t="e">
        <f t="shared" si="1191"/>
        <v>#NAME?</v>
      </c>
      <c r="V59">
        <f t="shared" si="1181"/>
        <v>56</v>
      </c>
      <c r="W59" t="e">
        <f t="shared" si="1182"/>
        <v>#NAME?</v>
      </c>
      <c r="X59" t="e">
        <f t="shared" si="1183"/>
        <v>#NAME?</v>
      </c>
      <c r="Y59" t="e">
        <f t="shared" si="1184"/>
        <v>#NAME?</v>
      </c>
      <c r="Z59" t="e">
        <f t="shared" si="1172"/>
        <v>#NAME?</v>
      </c>
      <c r="AA59" t="e">
        <f t="shared" si="1185"/>
        <v>#NAME?</v>
      </c>
      <c r="AB59" t="e">
        <f t="shared" si="1186"/>
        <v>#NAME?</v>
      </c>
      <c r="AD59">
        <f t="shared" si="1190"/>
        <v>56</v>
      </c>
      <c r="AE59">
        <f t="shared" si="1187"/>
        <v>8.73986212375927</v>
      </c>
    </row>
    <row r="60">
      <c r="A60">
        <f t="shared" si="1188"/>
        <v>57</v>
      </c>
      <c r="B60">
        <v>8.7639760975280581</v>
      </c>
      <c r="D60">
        <f t="shared" si="1189"/>
        <v>57</v>
      </c>
      <c r="E60" t="e">
        <f t="shared" si="1180"/>
        <v>#NAME?</v>
      </c>
      <c r="F60" t="e">
        <f t="shared" si="1191"/>
        <v>#NAME?</v>
      </c>
      <c r="V60">
        <f t="shared" si="1181"/>
        <v>57</v>
      </c>
      <c r="W60" t="e">
        <f t="shared" si="1182"/>
        <v>#NAME?</v>
      </c>
      <c r="X60" t="e">
        <f t="shared" si="1183"/>
        <v>#NAME?</v>
      </c>
      <c r="Y60" t="e">
        <f t="shared" si="1184"/>
        <v>#NAME?</v>
      </c>
      <c r="Z60" t="e">
        <f t="shared" si="1172"/>
        <v>#NAME?</v>
      </c>
      <c r="AA60" t="e">
        <f t="shared" si="1185"/>
        <v>#NAME?</v>
      </c>
      <c r="AB60" t="e">
        <f t="shared" si="1186"/>
        <v>#NAME?</v>
      </c>
      <c r="AD60">
        <f t="shared" si="1190"/>
        <v>57</v>
      </c>
      <c r="AE60">
        <f t="shared" si="1187"/>
        <v>8.7639760975280598</v>
      </c>
    </row>
    <row r="61">
      <c r="A61">
        <f t="shared" si="1188"/>
        <v>58</v>
      </c>
      <c r="B61">
        <v>10.607632270250908</v>
      </c>
      <c r="D61">
        <f t="shared" si="1189"/>
        <v>58</v>
      </c>
      <c r="E61" t="e">
        <f t="shared" si="1180"/>
        <v>#NAME?</v>
      </c>
      <c r="F61" t="e">
        <f t="shared" si="1191"/>
        <v>#NAME?</v>
      </c>
      <c r="V61">
        <f t="shared" si="1181"/>
        <v>58</v>
      </c>
      <c r="W61" t="e">
        <f t="shared" si="1182"/>
        <v>#NAME?</v>
      </c>
      <c r="X61" t="e">
        <f t="shared" si="1183"/>
        <v>#NAME?</v>
      </c>
      <c r="Y61" t="e">
        <f t="shared" si="1184"/>
        <v>#NAME?</v>
      </c>
      <c r="Z61" t="e">
        <f t="shared" si="1172"/>
        <v>#NAME?</v>
      </c>
      <c r="AA61" t="e">
        <f t="shared" si="1185"/>
        <v>#NAME?</v>
      </c>
      <c r="AB61" t="e">
        <f t="shared" si="1186"/>
        <v>#NAME?</v>
      </c>
      <c r="AD61">
        <f t="shared" si="1190"/>
        <v>58</v>
      </c>
      <c r="AE61">
        <f t="shared" si="1187"/>
        <v>10.6076322702509</v>
      </c>
    </row>
    <row r="62">
      <c r="A62">
        <f t="shared" si="1188"/>
        <v>59</v>
      </c>
      <c r="B62">
        <v>8.8462843661117905</v>
      </c>
      <c r="D62">
        <f t="shared" si="1189"/>
        <v>59</v>
      </c>
      <c r="E62" t="e">
        <f t="shared" si="1180"/>
        <v>#NAME?</v>
      </c>
      <c r="F62" t="e">
        <f t="shared" si="1191"/>
        <v>#NAME?</v>
      </c>
      <c r="V62">
        <f t="shared" si="1181"/>
        <v>59</v>
      </c>
      <c r="W62" t="e">
        <f t="shared" si="1182"/>
        <v>#NAME?</v>
      </c>
      <c r="X62" t="e">
        <f t="shared" si="1183"/>
        <v>#NAME?</v>
      </c>
      <c r="Y62" t="e">
        <f t="shared" si="1184"/>
        <v>#NAME?</v>
      </c>
      <c r="Z62" t="e">
        <f t="shared" si="1172"/>
        <v>#NAME?</v>
      </c>
      <c r="AA62" t="e">
        <f t="shared" si="1185"/>
        <v>#NAME?</v>
      </c>
      <c r="AB62" t="e">
        <f t="shared" si="1186"/>
        <v>#NAME?</v>
      </c>
      <c r="AD62">
        <f t="shared" si="1190"/>
        <v>59</v>
      </c>
      <c r="AE62">
        <f t="shared" si="1187"/>
        <v>8.8462843661117905</v>
      </c>
    </row>
    <row r="63">
      <c r="A63">
        <f t="shared" si="1188"/>
        <v>60</v>
      </c>
      <c r="B63">
        <v>8.197430472078814</v>
      </c>
      <c r="D63">
        <f t="shared" si="1189"/>
        <v>60</v>
      </c>
      <c r="E63" t="e">
        <f t="shared" si="1180"/>
        <v>#NAME?</v>
      </c>
      <c r="F63" t="e">
        <f t="shared" si="1191"/>
        <v>#NAME?</v>
      </c>
      <c r="V63">
        <f t="shared" si="1181"/>
        <v>60</v>
      </c>
      <c r="W63" t="e">
        <f t="shared" si="1182"/>
        <v>#NAME?</v>
      </c>
      <c r="X63" t="e">
        <f t="shared" si="1183"/>
        <v>#NAME?</v>
      </c>
      <c r="Y63" t="e">
        <f t="shared" si="1184"/>
        <v>#NAME?</v>
      </c>
      <c r="Z63" t="e">
        <f t="shared" si="1172"/>
        <v>#NAME?</v>
      </c>
      <c r="AA63" t="e">
        <f t="shared" si="1185"/>
        <v>#NAME?</v>
      </c>
      <c r="AB63" t="e">
        <f t="shared" si="1186"/>
        <v>#NAME?</v>
      </c>
      <c r="AD63">
        <f t="shared" si="1190"/>
        <v>60</v>
      </c>
      <c r="AE63">
        <f t="shared" si="1187"/>
        <v>8.1974304720788194</v>
      </c>
    </row>
    <row r="64">
      <c r="A64">
        <f t="shared" si="1188"/>
        <v>61</v>
      </c>
      <c r="B64">
        <v>9.7004678107933984</v>
      </c>
      <c r="D64">
        <f t="shared" si="1189"/>
        <v>61</v>
      </c>
      <c r="E64" t="e">
        <f t="shared" si="1180"/>
        <v>#NAME?</v>
      </c>
      <c r="F64" t="e">
        <f t="shared" si="1191"/>
        <v>#NAME?</v>
      </c>
      <c r="V64">
        <f t="shared" si="1181"/>
        <v>61</v>
      </c>
      <c r="W64" t="e">
        <f t="shared" si="1182"/>
        <v>#NAME?</v>
      </c>
      <c r="X64" t="e">
        <f t="shared" si="1183"/>
        <v>#NAME?</v>
      </c>
      <c r="Y64" t="e">
        <f t="shared" si="1184"/>
        <v>#NAME?</v>
      </c>
      <c r="Z64" t="e">
        <f t="shared" si="1172"/>
        <v>#NAME?</v>
      </c>
      <c r="AA64" t="e">
        <f t="shared" si="1185"/>
        <v>#NAME?</v>
      </c>
      <c r="AB64" t="e">
        <f t="shared" si="1186"/>
        <v>#NAME?</v>
      </c>
      <c r="AD64">
        <f t="shared" si="1190"/>
        <v>61</v>
      </c>
      <c r="AE64">
        <f t="shared" si="1187"/>
        <v>9.7004678107934001</v>
      </c>
    </row>
    <row r="65">
      <c r="A65">
        <f t="shared" si="1188"/>
        <v>62</v>
      </c>
      <c r="B65">
        <v>9.4988084630262417</v>
      </c>
      <c r="D65">
        <f t="shared" si="1189"/>
        <v>62</v>
      </c>
      <c r="E65" t="e">
        <f t="shared" si="1180"/>
        <v>#NAME?</v>
      </c>
      <c r="F65" t="e">
        <f t="shared" si="1191"/>
        <v>#NAME?</v>
      </c>
      <c r="V65">
        <f t="shared" si="1181"/>
        <v>62</v>
      </c>
      <c r="W65" t="e">
        <f t="shared" si="1182"/>
        <v>#NAME?</v>
      </c>
      <c r="X65" t="e">
        <f t="shared" si="1183"/>
        <v>#NAME?</v>
      </c>
      <c r="Y65" t="e">
        <f t="shared" si="1184"/>
        <v>#NAME?</v>
      </c>
      <c r="Z65" t="e">
        <f t="shared" si="1172"/>
        <v>#NAME?</v>
      </c>
      <c r="AA65" t="e">
        <f t="shared" si="1185"/>
        <v>#NAME?</v>
      </c>
      <c r="AB65" t="e">
        <f t="shared" si="1186"/>
        <v>#NAME?</v>
      </c>
      <c r="AD65">
        <f t="shared" si="1190"/>
        <v>62</v>
      </c>
      <c r="AE65">
        <f t="shared" si="1187"/>
        <v>9.4988084630262399</v>
      </c>
    </row>
    <row r="66">
      <c r="A66">
        <f t="shared" si="1188"/>
        <v>63</v>
      </c>
      <c r="B66">
        <v>9.7003857789385926</v>
      </c>
      <c r="D66">
        <f t="shared" si="1189"/>
        <v>63</v>
      </c>
      <c r="E66" t="e">
        <f t="shared" si="1180"/>
        <v>#NAME?</v>
      </c>
      <c r="F66" t="e">
        <f t="shared" si="1191"/>
        <v>#NAME?</v>
      </c>
      <c r="V66">
        <f t="shared" si="1181"/>
        <v>63</v>
      </c>
      <c r="W66" t="e">
        <f t="shared" si="1182"/>
        <v>#NAME?</v>
      </c>
      <c r="X66" t="e">
        <f t="shared" si="1183"/>
        <v>#NAME?</v>
      </c>
      <c r="Y66" t="e">
        <f t="shared" si="1184"/>
        <v>#NAME?</v>
      </c>
      <c r="Z66" t="e">
        <f t="shared" si="1172"/>
        <v>#NAME?</v>
      </c>
      <c r="AA66" t="e">
        <f t="shared" si="1185"/>
        <v>#NAME?</v>
      </c>
      <c r="AB66" t="e">
        <f t="shared" si="1186"/>
        <v>#NAME?</v>
      </c>
      <c r="AD66">
        <f t="shared" si="1190"/>
        <v>63</v>
      </c>
      <c r="AE66">
        <f t="shared" si="1187"/>
        <v>9.7003857789385908</v>
      </c>
    </row>
    <row r="67">
      <c r="A67">
        <f t="shared" si="1188"/>
        <v>64</v>
      </c>
      <c r="B67">
        <v>9.8196279939384326</v>
      </c>
      <c r="D67">
        <f t="shared" si="1189"/>
        <v>64</v>
      </c>
      <c r="E67" t="e">
        <f t="shared" si="1180"/>
        <v>#NAME?</v>
      </c>
      <c r="F67" t="e">
        <f t="shared" si="1191"/>
        <v>#NAME?</v>
      </c>
      <c r="V67">
        <f t="shared" si="1181"/>
        <v>64</v>
      </c>
      <c r="W67" t="e">
        <f t="shared" si="1182"/>
        <v>#NAME?</v>
      </c>
      <c r="X67" t="e">
        <f t="shared" si="1183"/>
        <v>#NAME?</v>
      </c>
      <c r="Y67" t="e">
        <f t="shared" si="1184"/>
        <v>#NAME?</v>
      </c>
      <c r="Z67" t="e">
        <f t="shared" si="1172"/>
        <v>#NAME?</v>
      </c>
      <c r="AA67" t="e">
        <f t="shared" si="1185"/>
        <v>#NAME?</v>
      </c>
      <c r="AB67" t="e">
        <f t="shared" si="1186"/>
        <v>#NAME?</v>
      </c>
      <c r="AD67">
        <f t="shared" si="1190"/>
        <v>64</v>
      </c>
      <c r="AE67">
        <f t="shared" si="1187"/>
        <v>9.8196279939384308</v>
      </c>
    </row>
    <row r="68">
      <c r="A68">
        <f t="shared" si="1188"/>
        <v>65</v>
      </c>
      <c r="B68">
        <v>12.357045585234705</v>
      </c>
      <c r="D68">
        <f t="shared" si="1189"/>
        <v>65</v>
      </c>
      <c r="E68" t="e">
        <f t="shared" si="1180"/>
        <v>#NAME?</v>
      </c>
      <c r="F68" t="e">
        <f t="shared" si="1191"/>
        <v>#NAME?</v>
      </c>
      <c r="V68">
        <f t="shared" si="1181"/>
        <v>65</v>
      </c>
      <c r="W68" t="e">
        <f t="shared" si="1182"/>
        <v>#NAME?</v>
      </c>
      <c r="X68" t="e">
        <f t="shared" si="1183"/>
        <v>#NAME?</v>
      </c>
      <c r="Y68" t="e">
        <f t="shared" si="1184"/>
        <v>#NAME?</v>
      </c>
      <c r="Z68" t="e">
        <f t="shared" ref="Z68:Z108" si="1193">J$15</f>
        <v>#NAME?</v>
      </c>
      <c r="AA68" t="e">
        <f t="shared" si="1185"/>
        <v>#NAME?</v>
      </c>
      <c r="AB68" t="e">
        <f t="shared" si="1186"/>
        <v>#NAME?</v>
      </c>
      <c r="AD68">
        <f t="shared" si="1190"/>
        <v>65</v>
      </c>
      <c r="AE68">
        <f t="shared" si="1187"/>
        <v>12.357045585234699</v>
      </c>
    </row>
    <row r="69">
      <c r="A69">
        <f t="shared" si="1188"/>
        <v>66</v>
      </c>
      <c r="B69">
        <v>10.923604414101041</v>
      </c>
      <c r="D69">
        <f t="shared" si="1189"/>
        <v>66</v>
      </c>
      <c r="E69" t="e">
        <f t="shared" si="1180"/>
        <v>#NAME?</v>
      </c>
      <c r="F69" t="e">
        <f t="shared" si="1191"/>
        <v>#NAME?</v>
      </c>
      <c r="V69">
        <f t="shared" si="1181"/>
        <v>66</v>
      </c>
      <c r="W69" t="e">
        <f t="shared" si="1182"/>
        <v>#NAME?</v>
      </c>
      <c r="X69" t="e">
        <f t="shared" si="1183"/>
        <v>#NAME?</v>
      </c>
      <c r="Y69" t="e">
        <f t="shared" si="1184"/>
        <v>#NAME?</v>
      </c>
      <c r="Z69" t="e">
        <f t="shared" si="1193"/>
        <v>#NAME?</v>
      </c>
      <c r="AA69" t="e">
        <f t="shared" si="1185"/>
        <v>#NAME?</v>
      </c>
      <c r="AB69" t="e">
        <f t="shared" si="1186"/>
        <v>#NAME?</v>
      </c>
      <c r="AD69">
        <f t="shared" si="1190"/>
        <v>66</v>
      </c>
      <c r="AE69">
        <f t="shared" si="1187"/>
        <v>10.923604414101</v>
      </c>
    </row>
    <row r="70">
      <c r="A70">
        <f t="shared" si="1188"/>
        <v>67</v>
      </c>
      <c r="B70">
        <v>9.7007658466065791</v>
      </c>
      <c r="D70">
        <f t="shared" si="1189"/>
        <v>67</v>
      </c>
      <c r="E70" t="e">
        <f t="shared" si="1180"/>
        <v>#NAME?</v>
      </c>
      <c r="F70" t="e">
        <f t="shared" si="1191"/>
        <v>#NAME?</v>
      </c>
      <c r="V70">
        <f t="shared" si="1181"/>
        <v>67</v>
      </c>
      <c r="W70" t="e">
        <f t="shared" si="1182"/>
        <v>#NAME?</v>
      </c>
      <c r="X70" t="e">
        <f t="shared" si="1183"/>
        <v>#NAME?</v>
      </c>
      <c r="Y70" t="e">
        <f t="shared" si="1184"/>
        <v>#NAME?</v>
      </c>
      <c r="Z70" t="e">
        <f t="shared" si="1193"/>
        <v>#NAME?</v>
      </c>
      <c r="AA70" t="e">
        <f t="shared" si="1185"/>
        <v>#NAME?</v>
      </c>
      <c r="AB70" t="e">
        <f t="shared" si="1186"/>
        <v>#NAME?</v>
      </c>
      <c r="AD70">
        <f t="shared" si="1190"/>
        <v>67</v>
      </c>
      <c r="AE70">
        <f t="shared" si="1187"/>
        <v>9.7007658466065791</v>
      </c>
    </row>
    <row r="71">
      <c r="A71">
        <f t="shared" si="1188"/>
        <v>68</v>
      </c>
      <c r="B71">
        <v>10.274161064714082</v>
      </c>
      <c r="D71">
        <f t="shared" si="1189"/>
        <v>68</v>
      </c>
      <c r="E71" t="e">
        <f t="shared" si="1180"/>
        <v>#NAME?</v>
      </c>
      <c r="F71" t="e">
        <f t="shared" si="1191"/>
        <v>#NAME?</v>
      </c>
      <c r="V71">
        <f t="shared" si="1181"/>
        <v>68</v>
      </c>
      <c r="W71" t="e">
        <f t="shared" si="1182"/>
        <v>#NAME?</v>
      </c>
      <c r="X71" t="e">
        <f t="shared" si="1183"/>
        <v>#NAME?</v>
      </c>
      <c r="Y71" t="e">
        <f t="shared" si="1184"/>
        <v>#NAME?</v>
      </c>
      <c r="Z71" t="e">
        <f t="shared" si="1193"/>
        <v>#NAME?</v>
      </c>
      <c r="AA71" t="e">
        <f t="shared" si="1185"/>
        <v>#NAME?</v>
      </c>
      <c r="AB71" t="e">
        <f t="shared" si="1186"/>
        <v>#NAME?</v>
      </c>
      <c r="AD71">
        <f t="shared" si="1190"/>
        <v>68</v>
      </c>
      <c r="AE71">
        <f t="shared" si="1187"/>
        <v>10.2741610647141</v>
      </c>
    </row>
    <row r="72">
      <c r="A72">
        <f t="shared" si="1188"/>
        <v>69</v>
      </c>
      <c r="B72">
        <v>9.7560808735559998</v>
      </c>
      <c r="D72">
        <f t="shared" si="1189"/>
        <v>69</v>
      </c>
      <c r="E72" t="e">
        <f t="shared" si="1180"/>
        <v>#NAME?</v>
      </c>
      <c r="F72" t="e">
        <f t="shared" si="1191"/>
        <v>#NAME?</v>
      </c>
      <c r="V72">
        <f t="shared" si="1181"/>
        <v>69</v>
      </c>
      <c r="W72" t="e">
        <f t="shared" si="1182"/>
        <v>#NAME?</v>
      </c>
      <c r="X72" t="e">
        <f t="shared" si="1183"/>
        <v>#NAME?</v>
      </c>
      <c r="Y72" t="e">
        <f t="shared" si="1184"/>
        <v>#NAME?</v>
      </c>
      <c r="Z72" t="e">
        <f t="shared" si="1193"/>
        <v>#NAME?</v>
      </c>
      <c r="AA72" t="e">
        <f t="shared" si="1185"/>
        <v>#NAME?</v>
      </c>
      <c r="AB72" t="e">
        <f t="shared" si="1186"/>
        <v>#NAME?</v>
      </c>
      <c r="AD72">
        <f t="shared" si="1190"/>
        <v>69</v>
      </c>
      <c r="AE72">
        <f t="shared" si="1187"/>
        <v>9.7560808735559998</v>
      </c>
    </row>
    <row r="73">
      <c r="A73">
        <f t="shared" si="1188"/>
        <v>70</v>
      </c>
      <c r="B73">
        <v>9.2877318420515778</v>
      </c>
      <c r="D73">
        <f t="shared" si="1189"/>
        <v>70</v>
      </c>
      <c r="E73" t="e">
        <f t="shared" si="1180"/>
        <v>#NAME?</v>
      </c>
      <c r="F73" t="e">
        <f t="shared" si="1191"/>
        <v>#NAME?</v>
      </c>
      <c r="V73">
        <f t="shared" si="1181"/>
        <v>70</v>
      </c>
      <c r="W73" t="e">
        <f t="shared" si="1182"/>
        <v>#NAME?</v>
      </c>
      <c r="X73" t="e">
        <f t="shared" si="1183"/>
        <v>#NAME?</v>
      </c>
      <c r="Y73" t="e">
        <f t="shared" si="1184"/>
        <v>#NAME?</v>
      </c>
      <c r="Z73" t="e">
        <f t="shared" si="1193"/>
        <v>#NAME?</v>
      </c>
      <c r="AA73" t="e">
        <f t="shared" si="1185"/>
        <v>#NAME?</v>
      </c>
      <c r="AB73" t="e">
        <f t="shared" si="1186"/>
        <v>#NAME?</v>
      </c>
      <c r="AD73">
        <f t="shared" si="1190"/>
        <v>70</v>
      </c>
      <c r="AE73">
        <f t="shared" si="1187"/>
        <v>9.2877318420515795</v>
      </c>
    </row>
    <row r="74">
      <c r="A74">
        <f t="shared" si="1188"/>
        <v>71</v>
      </c>
      <c r="B74">
        <v>8.7948076969057745</v>
      </c>
      <c r="D74">
        <f t="shared" si="1189"/>
        <v>71</v>
      </c>
      <c r="E74" t="e">
        <f t="shared" ref="E74:E99" si="1194">B74-J$6</f>
        <v>#NAME?</v>
      </c>
      <c r="F74" t="e">
        <f t="shared" si="1191"/>
        <v>#NAME?</v>
      </c>
      <c r="V74">
        <f t="shared" ref="V74:V99" si="1195">D74</f>
        <v>71</v>
      </c>
      <c r="W74" t="e">
        <f t="shared" ref="W74:W99" si="1196">E74</f>
        <v>#NAME?</v>
      </c>
      <c r="X74" t="e">
        <f t="shared" ref="X74:X99" si="1197">F74</f>
        <v>#NAME?</v>
      </c>
      <c r="Y74" t="e">
        <f t="shared" ref="Y74:Y99" si="1198">W74-X74</f>
        <v>#NAME?</v>
      </c>
      <c r="Z74" t="e">
        <f t="shared" si="1193"/>
        <v>#NAME?</v>
      </c>
      <c r="AA74" t="e">
        <f t="shared" ref="AA74:AA99" si="1199">Y74-NORMSINV(1-Z$2/2)*Z74</f>
        <v>#NAME?</v>
      </c>
      <c r="AB74" t="e">
        <f t="shared" ref="AB74:AB99" si="1200">Y74+NORMSINV(1-Z$2/2)*Z74</f>
        <v>#NAME?</v>
      </c>
      <c r="AD74">
        <f t="shared" si="1190"/>
        <v>71</v>
      </c>
      <c r="AE74">
        <f t="shared" ref="AE74:AE99" si="1201">B74</f>
        <v>8.7948076969057798</v>
      </c>
    </row>
    <row r="75">
      <c r="A75">
        <f t="shared" ref="A75:A100" si="1202">A74+1</f>
        <v>72</v>
      </c>
      <c r="B75">
        <v>9.9521659452576507</v>
      </c>
      <c r="D75">
        <f t="shared" ref="D75:D100" si="1203">D74+1</f>
        <v>72</v>
      </c>
      <c r="E75" t="e">
        <f t="shared" si="1194"/>
        <v>#NAME?</v>
      </c>
      <c r="F75" t="e">
        <f t="shared" si="1191"/>
        <v>#NAME?</v>
      </c>
      <c r="V75">
        <f t="shared" si="1195"/>
        <v>72</v>
      </c>
      <c r="W75" t="e">
        <f t="shared" si="1196"/>
        <v>#NAME?</v>
      </c>
      <c r="X75" t="e">
        <f t="shared" si="1197"/>
        <v>#NAME?</v>
      </c>
      <c r="Y75" t="e">
        <f t="shared" si="1198"/>
        <v>#NAME?</v>
      </c>
      <c r="Z75" t="e">
        <f t="shared" si="1193"/>
        <v>#NAME?</v>
      </c>
      <c r="AA75" t="e">
        <f t="shared" si="1199"/>
        <v>#NAME?</v>
      </c>
      <c r="AB75" t="e">
        <f t="shared" si="1200"/>
        <v>#NAME?</v>
      </c>
      <c r="AD75">
        <f t="shared" ref="AD75:AD100" si="1204">AD74+1</f>
        <v>72</v>
      </c>
      <c r="AE75">
        <f t="shared" si="1201"/>
        <v>9.9521659452576507</v>
      </c>
    </row>
    <row r="76">
      <c r="A76">
        <f t="shared" si="1202"/>
        <v>73</v>
      </c>
      <c r="B76">
        <v>9.1465177932835449</v>
      </c>
      <c r="D76">
        <f t="shared" si="1203"/>
        <v>73</v>
      </c>
      <c r="E76" t="e">
        <f t="shared" si="1194"/>
        <v>#NAME?</v>
      </c>
      <c r="F76" t="e">
        <f t="shared" ref="F76:F99" si="1205">E76-SUMPRODUCT(E74:E75,I$4:I$5)-SUMPRODUCT(F75,J$5)</f>
        <v>#NAME?</v>
      </c>
      <c r="V76">
        <f t="shared" si="1195"/>
        <v>73</v>
      </c>
      <c r="W76" t="e">
        <f t="shared" si="1196"/>
        <v>#NAME?</v>
      </c>
      <c r="X76" t="e">
        <f t="shared" si="1197"/>
        <v>#NAME?</v>
      </c>
      <c r="Y76" t="e">
        <f t="shared" si="1198"/>
        <v>#NAME?</v>
      </c>
      <c r="Z76" t="e">
        <f t="shared" si="1193"/>
        <v>#NAME?</v>
      </c>
      <c r="AA76" t="e">
        <f t="shared" si="1199"/>
        <v>#NAME?</v>
      </c>
      <c r="AB76" t="e">
        <f t="shared" si="1200"/>
        <v>#NAME?</v>
      </c>
      <c r="AD76">
        <f t="shared" si="1204"/>
        <v>73</v>
      </c>
      <c r="AE76">
        <f t="shared" si="1201"/>
        <v>9.1465177932835502</v>
      </c>
    </row>
    <row r="77">
      <c r="A77">
        <f t="shared" si="1202"/>
        <v>74</v>
      </c>
      <c r="B77">
        <v>8.4120728228094741</v>
      </c>
      <c r="D77">
        <f t="shared" si="1203"/>
        <v>74</v>
      </c>
      <c r="E77" t="e">
        <f t="shared" si="1194"/>
        <v>#NAME?</v>
      </c>
      <c r="F77" t="e">
        <f t="shared" si="1205"/>
        <v>#NAME?</v>
      </c>
      <c r="V77">
        <f t="shared" si="1195"/>
        <v>74</v>
      </c>
      <c r="W77" t="e">
        <f t="shared" si="1196"/>
        <v>#NAME?</v>
      </c>
      <c r="X77" t="e">
        <f t="shared" si="1197"/>
        <v>#NAME?</v>
      </c>
      <c r="Y77" t="e">
        <f t="shared" si="1198"/>
        <v>#NAME?</v>
      </c>
      <c r="Z77" t="e">
        <f t="shared" si="1193"/>
        <v>#NAME?</v>
      </c>
      <c r="AA77" t="e">
        <f t="shared" si="1199"/>
        <v>#NAME?</v>
      </c>
      <c r="AB77" t="e">
        <f t="shared" si="1200"/>
        <v>#NAME?</v>
      </c>
      <c r="AD77">
        <f t="shared" si="1204"/>
        <v>74</v>
      </c>
      <c r="AE77">
        <f t="shared" si="1201"/>
        <v>8.4120728228094794</v>
      </c>
    </row>
    <row r="78">
      <c r="A78">
        <f t="shared" si="1202"/>
        <v>75</v>
      </c>
      <c r="B78">
        <v>9.7238473406247508</v>
      </c>
      <c r="D78">
        <f t="shared" si="1203"/>
        <v>75</v>
      </c>
      <c r="E78" t="e">
        <f t="shared" si="1194"/>
        <v>#NAME?</v>
      </c>
      <c r="F78" t="e">
        <f t="shared" si="1205"/>
        <v>#NAME?</v>
      </c>
      <c r="V78">
        <f t="shared" si="1195"/>
        <v>75</v>
      </c>
      <c r="W78" t="e">
        <f t="shared" si="1196"/>
        <v>#NAME?</v>
      </c>
      <c r="X78" t="e">
        <f t="shared" si="1197"/>
        <v>#NAME?</v>
      </c>
      <c r="Y78" t="e">
        <f t="shared" si="1198"/>
        <v>#NAME?</v>
      </c>
      <c r="Z78" t="e">
        <f t="shared" si="1193"/>
        <v>#NAME?</v>
      </c>
      <c r="AA78" t="e">
        <f t="shared" si="1199"/>
        <v>#NAME?</v>
      </c>
      <c r="AB78" t="e">
        <f t="shared" si="1200"/>
        <v>#NAME?</v>
      </c>
      <c r="AD78">
        <f t="shared" si="1204"/>
        <v>75</v>
      </c>
      <c r="AE78">
        <f t="shared" si="1201"/>
        <v>9.7238473406247508</v>
      </c>
    </row>
    <row r="79">
      <c r="A79">
        <f t="shared" si="1202"/>
        <v>76</v>
      </c>
      <c r="B79">
        <v>8.4487887533605956</v>
      </c>
      <c r="D79">
        <f t="shared" si="1203"/>
        <v>76</v>
      </c>
      <c r="E79" t="e">
        <f t="shared" si="1194"/>
        <v>#NAME?</v>
      </c>
      <c r="F79" t="e">
        <f t="shared" si="1205"/>
        <v>#NAME?</v>
      </c>
      <c r="V79">
        <f t="shared" si="1195"/>
        <v>76</v>
      </c>
      <c r="W79" t="e">
        <f t="shared" si="1196"/>
        <v>#NAME?</v>
      </c>
      <c r="X79" t="e">
        <f t="shared" si="1197"/>
        <v>#NAME?</v>
      </c>
      <c r="Y79" t="e">
        <f t="shared" si="1198"/>
        <v>#NAME?</v>
      </c>
      <c r="Z79" t="e">
        <f t="shared" si="1193"/>
        <v>#NAME?</v>
      </c>
      <c r="AA79" t="e">
        <f t="shared" si="1199"/>
        <v>#NAME?</v>
      </c>
      <c r="AB79" t="e">
        <f t="shared" si="1200"/>
        <v>#NAME?</v>
      </c>
      <c r="AD79">
        <f t="shared" si="1204"/>
        <v>76</v>
      </c>
      <c r="AE79">
        <f t="shared" si="1201"/>
        <v>8.4487887533605992</v>
      </c>
    </row>
    <row r="80">
      <c r="A80">
        <f t="shared" si="1202"/>
        <v>77</v>
      </c>
      <c r="B80">
        <v>9.3091696279858969</v>
      </c>
      <c r="D80">
        <f t="shared" si="1203"/>
        <v>77</v>
      </c>
      <c r="E80" t="e">
        <f t="shared" si="1194"/>
        <v>#NAME?</v>
      </c>
      <c r="F80" t="e">
        <f t="shared" si="1205"/>
        <v>#NAME?</v>
      </c>
      <c r="V80">
        <f t="shared" si="1195"/>
        <v>77</v>
      </c>
      <c r="W80" t="e">
        <f t="shared" si="1196"/>
        <v>#NAME?</v>
      </c>
      <c r="X80" t="e">
        <f t="shared" si="1197"/>
        <v>#NAME?</v>
      </c>
      <c r="Y80" t="e">
        <f t="shared" si="1198"/>
        <v>#NAME?</v>
      </c>
      <c r="Z80" t="e">
        <f t="shared" si="1193"/>
        <v>#NAME?</v>
      </c>
      <c r="AA80" t="e">
        <f t="shared" si="1199"/>
        <v>#NAME?</v>
      </c>
      <c r="AB80" t="e">
        <f t="shared" si="1200"/>
        <v>#NAME?</v>
      </c>
      <c r="AD80">
        <f t="shared" si="1204"/>
        <v>77</v>
      </c>
      <c r="AE80">
        <f t="shared" si="1201"/>
        <v>9.3091696279859004</v>
      </c>
    </row>
    <row r="81">
      <c r="A81">
        <f t="shared" si="1202"/>
        <v>78</v>
      </c>
      <c r="B81">
        <v>9.6290950722323778</v>
      </c>
      <c r="D81">
        <f t="shared" si="1203"/>
        <v>78</v>
      </c>
      <c r="E81" t="e">
        <f t="shared" si="1194"/>
        <v>#NAME?</v>
      </c>
      <c r="F81" t="e">
        <f t="shared" si="1205"/>
        <v>#NAME?</v>
      </c>
      <c r="V81">
        <f t="shared" si="1195"/>
        <v>78</v>
      </c>
      <c r="W81" t="e">
        <f t="shared" si="1196"/>
        <v>#NAME?</v>
      </c>
      <c r="X81" t="e">
        <f t="shared" si="1197"/>
        <v>#NAME?</v>
      </c>
      <c r="Y81" t="e">
        <f t="shared" si="1198"/>
        <v>#NAME?</v>
      </c>
      <c r="Z81" t="e">
        <f t="shared" si="1193"/>
        <v>#NAME?</v>
      </c>
      <c r="AA81" t="e">
        <f t="shared" si="1199"/>
        <v>#NAME?</v>
      </c>
      <c r="AB81" t="e">
        <f t="shared" si="1200"/>
        <v>#NAME?</v>
      </c>
      <c r="AD81">
        <f t="shared" si="1204"/>
        <v>78</v>
      </c>
      <c r="AE81">
        <f t="shared" si="1201"/>
        <v>9.6290950722323796</v>
      </c>
    </row>
    <row r="82">
      <c r="A82">
        <f t="shared" si="1202"/>
        <v>79</v>
      </c>
      <c r="B82">
        <v>10.498754342121549</v>
      </c>
      <c r="D82">
        <f t="shared" si="1203"/>
        <v>79</v>
      </c>
      <c r="E82" t="e">
        <f t="shared" si="1194"/>
        <v>#NAME?</v>
      </c>
      <c r="F82" t="e">
        <f t="shared" si="1205"/>
        <v>#NAME?</v>
      </c>
      <c r="V82">
        <f t="shared" si="1195"/>
        <v>79</v>
      </c>
      <c r="W82" t="e">
        <f t="shared" si="1196"/>
        <v>#NAME?</v>
      </c>
      <c r="X82" t="e">
        <f t="shared" si="1197"/>
        <v>#NAME?</v>
      </c>
      <c r="Y82" t="e">
        <f t="shared" si="1198"/>
        <v>#NAME?</v>
      </c>
      <c r="Z82" t="e">
        <f t="shared" si="1193"/>
        <v>#NAME?</v>
      </c>
      <c r="AA82" t="e">
        <f t="shared" si="1199"/>
        <v>#NAME?</v>
      </c>
      <c r="AB82" t="e">
        <f t="shared" si="1200"/>
        <v>#NAME?</v>
      </c>
      <c r="AD82">
        <f t="shared" si="1204"/>
        <v>79</v>
      </c>
      <c r="AE82">
        <f t="shared" si="1201"/>
        <v>10.4987543421216</v>
      </c>
    </row>
    <row r="83">
      <c r="A83">
        <f t="shared" si="1202"/>
        <v>80</v>
      </c>
      <c r="B83">
        <v>8.1345560346257617</v>
      </c>
      <c r="D83">
        <f t="shared" si="1203"/>
        <v>80</v>
      </c>
      <c r="E83" t="e">
        <f t="shared" si="1194"/>
        <v>#NAME?</v>
      </c>
      <c r="F83" t="e">
        <f t="shared" si="1205"/>
        <v>#NAME?</v>
      </c>
      <c r="V83">
        <f t="shared" si="1195"/>
        <v>80</v>
      </c>
      <c r="W83" t="e">
        <f t="shared" si="1196"/>
        <v>#NAME?</v>
      </c>
      <c r="X83" t="e">
        <f t="shared" si="1197"/>
        <v>#NAME?</v>
      </c>
      <c r="Y83" t="e">
        <f t="shared" si="1198"/>
        <v>#NAME?</v>
      </c>
      <c r="Z83" t="e">
        <f t="shared" si="1193"/>
        <v>#NAME?</v>
      </c>
      <c r="AA83" t="e">
        <f t="shared" si="1199"/>
        <v>#NAME?</v>
      </c>
      <c r="AB83" t="e">
        <f t="shared" si="1200"/>
        <v>#NAME?</v>
      </c>
      <c r="AD83">
        <f t="shared" si="1204"/>
        <v>80</v>
      </c>
      <c r="AE83">
        <f t="shared" si="1201"/>
        <v>8.1345560346257599</v>
      </c>
    </row>
    <row r="84">
      <c r="A84">
        <f t="shared" si="1202"/>
        <v>81</v>
      </c>
      <c r="B84">
        <v>9.155183562363236</v>
      </c>
      <c r="D84">
        <f t="shared" si="1203"/>
        <v>81</v>
      </c>
      <c r="E84" t="e">
        <f t="shared" si="1194"/>
        <v>#NAME?</v>
      </c>
      <c r="F84" t="e">
        <f t="shared" si="1205"/>
        <v>#NAME?</v>
      </c>
      <c r="V84">
        <f t="shared" si="1195"/>
        <v>81</v>
      </c>
      <c r="W84" t="e">
        <f t="shared" si="1196"/>
        <v>#NAME?</v>
      </c>
      <c r="X84" t="e">
        <f t="shared" si="1197"/>
        <v>#NAME?</v>
      </c>
      <c r="Y84" t="e">
        <f t="shared" si="1198"/>
        <v>#NAME?</v>
      </c>
      <c r="Z84" t="e">
        <f t="shared" si="1193"/>
        <v>#NAME?</v>
      </c>
      <c r="AA84" t="e">
        <f t="shared" si="1199"/>
        <v>#NAME?</v>
      </c>
      <c r="AB84" t="e">
        <f t="shared" si="1200"/>
        <v>#NAME?</v>
      </c>
      <c r="AD84">
        <f t="shared" si="1204"/>
        <v>81</v>
      </c>
      <c r="AE84">
        <f t="shared" si="1201"/>
        <v>9.1551835623632396</v>
      </c>
    </row>
    <row r="85">
      <c r="A85">
        <f t="shared" si="1202"/>
        <v>82</v>
      </c>
      <c r="B85">
        <v>7.9920854400738497</v>
      </c>
      <c r="D85">
        <f t="shared" si="1203"/>
        <v>82</v>
      </c>
      <c r="E85" t="e">
        <f t="shared" si="1194"/>
        <v>#NAME?</v>
      </c>
      <c r="F85" t="e">
        <f t="shared" si="1205"/>
        <v>#NAME?</v>
      </c>
      <c r="V85">
        <f t="shared" si="1195"/>
        <v>82</v>
      </c>
      <c r="W85" t="e">
        <f t="shared" si="1196"/>
        <v>#NAME?</v>
      </c>
      <c r="X85" t="e">
        <f t="shared" si="1197"/>
        <v>#NAME?</v>
      </c>
      <c r="Y85" t="e">
        <f t="shared" si="1198"/>
        <v>#NAME?</v>
      </c>
      <c r="Z85" t="e">
        <f t="shared" si="1193"/>
        <v>#NAME?</v>
      </c>
      <c r="AA85" t="e">
        <f t="shared" si="1199"/>
        <v>#NAME?</v>
      </c>
      <c r="AB85" t="e">
        <f t="shared" si="1200"/>
        <v>#NAME?</v>
      </c>
      <c r="AD85">
        <f t="shared" si="1204"/>
        <v>82</v>
      </c>
      <c r="AE85">
        <f t="shared" si="1201"/>
        <v>7.9920854400738497</v>
      </c>
    </row>
    <row r="86">
      <c r="A86">
        <f t="shared" si="1202"/>
        <v>83</v>
      </c>
      <c r="B86">
        <v>10.439526996669359</v>
      </c>
      <c r="D86">
        <f t="shared" si="1203"/>
        <v>83</v>
      </c>
      <c r="E86" t="e">
        <f t="shared" si="1194"/>
        <v>#NAME?</v>
      </c>
      <c r="F86" t="e">
        <f t="shared" si="1205"/>
        <v>#NAME?</v>
      </c>
      <c r="V86">
        <f t="shared" si="1195"/>
        <v>83</v>
      </c>
      <c r="W86" t="e">
        <f t="shared" si="1196"/>
        <v>#NAME?</v>
      </c>
      <c r="X86" t="e">
        <f t="shared" si="1197"/>
        <v>#NAME?</v>
      </c>
      <c r="Y86" t="e">
        <f t="shared" si="1198"/>
        <v>#NAME?</v>
      </c>
      <c r="Z86" t="e">
        <f t="shared" si="1193"/>
        <v>#NAME?</v>
      </c>
      <c r="AA86" t="e">
        <f t="shared" si="1199"/>
        <v>#NAME?</v>
      </c>
      <c r="AB86" t="e">
        <f t="shared" si="1200"/>
        <v>#NAME?</v>
      </c>
      <c r="AD86">
        <f t="shared" si="1204"/>
        <v>83</v>
      </c>
      <c r="AE86">
        <f t="shared" si="1201"/>
        <v>10.4395269966694</v>
      </c>
    </row>
    <row r="87">
      <c r="A87">
        <f t="shared" si="1202"/>
        <v>84</v>
      </c>
      <c r="B87">
        <v>11.175252728421924</v>
      </c>
      <c r="D87">
        <f t="shared" si="1203"/>
        <v>84</v>
      </c>
      <c r="E87" t="e">
        <f t="shared" si="1194"/>
        <v>#NAME?</v>
      </c>
      <c r="F87" t="e">
        <f t="shared" si="1205"/>
        <v>#NAME?</v>
      </c>
      <c r="V87">
        <f t="shared" si="1195"/>
        <v>84</v>
      </c>
      <c r="W87" t="e">
        <f t="shared" si="1196"/>
        <v>#NAME?</v>
      </c>
      <c r="X87" t="e">
        <f t="shared" si="1197"/>
        <v>#NAME?</v>
      </c>
      <c r="Y87" t="e">
        <f t="shared" si="1198"/>
        <v>#NAME?</v>
      </c>
      <c r="Z87" t="e">
        <f t="shared" si="1193"/>
        <v>#NAME?</v>
      </c>
      <c r="AA87" t="e">
        <f t="shared" si="1199"/>
        <v>#NAME?</v>
      </c>
      <c r="AB87" t="e">
        <f t="shared" si="1200"/>
        <v>#NAME?</v>
      </c>
      <c r="AD87">
        <f t="shared" si="1204"/>
        <v>84</v>
      </c>
      <c r="AE87">
        <f t="shared" si="1201"/>
        <v>11.175252728421899</v>
      </c>
    </row>
    <row r="88">
      <c r="A88">
        <f t="shared" si="1202"/>
        <v>85</v>
      </c>
      <c r="B88">
        <v>9.9215034890634719</v>
      </c>
      <c r="D88">
        <f t="shared" si="1203"/>
        <v>85</v>
      </c>
      <c r="E88" t="e">
        <f t="shared" si="1194"/>
        <v>#NAME?</v>
      </c>
      <c r="F88" t="e">
        <f t="shared" si="1205"/>
        <v>#NAME?</v>
      </c>
      <c r="V88">
        <f t="shared" si="1195"/>
        <v>85</v>
      </c>
      <c r="W88" t="e">
        <f t="shared" si="1196"/>
        <v>#NAME?</v>
      </c>
      <c r="X88" t="e">
        <f t="shared" si="1197"/>
        <v>#NAME?</v>
      </c>
      <c r="Y88" t="e">
        <f t="shared" si="1198"/>
        <v>#NAME?</v>
      </c>
      <c r="Z88" t="e">
        <f t="shared" si="1193"/>
        <v>#NAME?</v>
      </c>
      <c r="AA88" t="e">
        <f t="shared" si="1199"/>
        <v>#NAME?</v>
      </c>
      <c r="AB88" t="e">
        <f t="shared" si="1200"/>
        <v>#NAME?</v>
      </c>
      <c r="AD88">
        <f t="shared" si="1204"/>
        <v>85</v>
      </c>
      <c r="AE88">
        <f t="shared" si="1201"/>
        <v>9.9215034890634701</v>
      </c>
    </row>
    <row r="89">
      <c r="A89">
        <f t="shared" si="1202"/>
        <v>86</v>
      </c>
      <c r="B89">
        <v>10.653018863925139</v>
      </c>
      <c r="D89">
        <f t="shared" si="1203"/>
        <v>86</v>
      </c>
      <c r="E89" t="e">
        <f t="shared" si="1194"/>
        <v>#NAME?</v>
      </c>
      <c r="F89" t="e">
        <f t="shared" si="1205"/>
        <v>#NAME?</v>
      </c>
      <c r="V89">
        <f t="shared" si="1195"/>
        <v>86</v>
      </c>
      <c r="W89" t="e">
        <f t="shared" si="1196"/>
        <v>#NAME?</v>
      </c>
      <c r="X89" t="e">
        <f t="shared" si="1197"/>
        <v>#NAME?</v>
      </c>
      <c r="Y89" t="e">
        <f t="shared" si="1198"/>
        <v>#NAME?</v>
      </c>
      <c r="Z89" t="e">
        <f t="shared" si="1193"/>
        <v>#NAME?</v>
      </c>
      <c r="AA89" t="e">
        <f t="shared" si="1199"/>
        <v>#NAME?</v>
      </c>
      <c r="AB89" t="e">
        <f t="shared" si="1200"/>
        <v>#NAME?</v>
      </c>
      <c r="AD89">
        <f t="shared" si="1204"/>
        <v>86</v>
      </c>
      <c r="AE89">
        <f t="shared" si="1201"/>
        <v>10.6530188639251</v>
      </c>
    </row>
    <row r="90">
      <c r="A90">
        <f t="shared" si="1202"/>
        <v>87</v>
      </c>
      <c r="B90">
        <v>10.300965035959743</v>
      </c>
      <c r="D90">
        <f t="shared" si="1203"/>
        <v>87</v>
      </c>
      <c r="E90" t="e">
        <f t="shared" si="1194"/>
        <v>#NAME?</v>
      </c>
      <c r="F90" t="e">
        <f t="shared" si="1205"/>
        <v>#NAME?</v>
      </c>
      <c r="V90">
        <f t="shared" si="1195"/>
        <v>87</v>
      </c>
      <c r="W90" t="e">
        <f t="shared" si="1196"/>
        <v>#NAME?</v>
      </c>
      <c r="X90" t="e">
        <f t="shared" si="1197"/>
        <v>#NAME?</v>
      </c>
      <c r="Y90" t="e">
        <f t="shared" si="1198"/>
        <v>#NAME?</v>
      </c>
      <c r="Z90" t="e">
        <f t="shared" si="1193"/>
        <v>#NAME?</v>
      </c>
      <c r="AA90" t="e">
        <f t="shared" si="1199"/>
        <v>#NAME?</v>
      </c>
      <c r="AB90" t="e">
        <f t="shared" si="1200"/>
        <v>#NAME?</v>
      </c>
      <c r="AD90">
        <f t="shared" si="1204"/>
        <v>87</v>
      </c>
      <c r="AE90">
        <f t="shared" si="1201"/>
        <v>10.300965035959701</v>
      </c>
    </row>
    <row r="91">
      <c r="A91">
        <f t="shared" si="1202"/>
        <v>88</v>
      </c>
      <c r="B91">
        <v>9.322711642040451</v>
      </c>
      <c r="D91">
        <f t="shared" si="1203"/>
        <v>88</v>
      </c>
      <c r="E91" t="e">
        <f t="shared" si="1194"/>
        <v>#NAME?</v>
      </c>
      <c r="F91" t="e">
        <f t="shared" si="1205"/>
        <v>#NAME?</v>
      </c>
      <c r="V91">
        <f t="shared" si="1195"/>
        <v>88</v>
      </c>
      <c r="W91" t="e">
        <f t="shared" si="1196"/>
        <v>#NAME?</v>
      </c>
      <c r="X91" t="e">
        <f t="shared" si="1197"/>
        <v>#NAME?</v>
      </c>
      <c r="Y91" t="e">
        <f t="shared" si="1198"/>
        <v>#NAME?</v>
      </c>
      <c r="Z91" t="e">
        <f t="shared" si="1193"/>
        <v>#NAME?</v>
      </c>
      <c r="AA91" t="e">
        <f t="shared" si="1199"/>
        <v>#NAME?</v>
      </c>
      <c r="AB91" t="e">
        <f t="shared" si="1200"/>
        <v>#NAME?</v>
      </c>
      <c r="AD91">
        <f t="shared" si="1204"/>
        <v>88</v>
      </c>
      <c r="AE91">
        <f t="shared" si="1201"/>
        <v>9.3227116420404492</v>
      </c>
    </row>
    <row r="92">
      <c r="A92">
        <f t="shared" si="1202"/>
        <v>89</v>
      </c>
      <c r="B92">
        <v>11.208496897982</v>
      </c>
      <c r="D92">
        <f t="shared" si="1203"/>
        <v>89</v>
      </c>
      <c r="E92" t="e">
        <f t="shared" si="1194"/>
        <v>#NAME?</v>
      </c>
      <c r="F92" t="e">
        <f t="shared" si="1205"/>
        <v>#NAME?</v>
      </c>
      <c r="V92">
        <f t="shared" si="1195"/>
        <v>89</v>
      </c>
      <c r="W92" t="e">
        <f t="shared" si="1196"/>
        <v>#NAME?</v>
      </c>
      <c r="X92" t="e">
        <f t="shared" si="1197"/>
        <v>#NAME?</v>
      </c>
      <c r="Y92" t="e">
        <f t="shared" si="1198"/>
        <v>#NAME?</v>
      </c>
      <c r="Z92" t="e">
        <f t="shared" si="1193"/>
        <v>#NAME?</v>
      </c>
      <c r="AA92" t="e">
        <f t="shared" si="1199"/>
        <v>#NAME?</v>
      </c>
      <c r="AB92" t="e">
        <f t="shared" si="1200"/>
        <v>#NAME?</v>
      </c>
      <c r="AD92">
        <f t="shared" si="1204"/>
        <v>89</v>
      </c>
      <c r="AE92">
        <f t="shared" si="1201"/>
        <v>11.208496897982</v>
      </c>
    </row>
    <row r="93">
      <c r="A93">
        <f t="shared" si="1202"/>
        <v>90</v>
      </c>
      <c r="B93">
        <v>9.8337122512150561</v>
      </c>
      <c r="D93">
        <f t="shared" si="1203"/>
        <v>90</v>
      </c>
      <c r="E93" t="e">
        <f t="shared" si="1194"/>
        <v>#NAME?</v>
      </c>
      <c r="F93" t="e">
        <f t="shared" si="1205"/>
        <v>#NAME?</v>
      </c>
      <c r="V93">
        <f t="shared" si="1195"/>
        <v>90</v>
      </c>
      <c r="W93" t="e">
        <f t="shared" si="1196"/>
        <v>#NAME?</v>
      </c>
      <c r="X93" t="e">
        <f t="shared" si="1197"/>
        <v>#NAME?</v>
      </c>
      <c r="Y93" t="e">
        <f t="shared" si="1198"/>
        <v>#NAME?</v>
      </c>
      <c r="Z93" t="e">
        <f t="shared" si="1193"/>
        <v>#NAME?</v>
      </c>
      <c r="AA93" t="e">
        <f t="shared" si="1199"/>
        <v>#NAME?</v>
      </c>
      <c r="AB93" t="e">
        <f t="shared" si="1200"/>
        <v>#NAME?</v>
      </c>
      <c r="AD93">
        <f t="shared" si="1204"/>
        <v>90</v>
      </c>
      <c r="AE93">
        <f t="shared" si="1201"/>
        <v>9.8337122512150597</v>
      </c>
    </row>
    <row r="94">
      <c r="A94">
        <f t="shared" si="1202"/>
        <v>91</v>
      </c>
      <c r="B94">
        <v>11.009228904367124</v>
      </c>
      <c r="D94">
        <f t="shared" si="1203"/>
        <v>91</v>
      </c>
      <c r="E94" t="e">
        <f t="shared" si="1194"/>
        <v>#NAME?</v>
      </c>
      <c r="F94" t="e">
        <f t="shared" si="1205"/>
        <v>#NAME?</v>
      </c>
      <c r="V94">
        <f t="shared" si="1195"/>
        <v>91</v>
      </c>
      <c r="W94" t="e">
        <f t="shared" si="1196"/>
        <v>#NAME?</v>
      </c>
      <c r="X94" t="e">
        <f t="shared" si="1197"/>
        <v>#NAME?</v>
      </c>
      <c r="Y94" t="e">
        <f t="shared" si="1198"/>
        <v>#NAME?</v>
      </c>
      <c r="Z94" t="e">
        <f t="shared" si="1193"/>
        <v>#NAME?</v>
      </c>
      <c r="AA94" t="e">
        <f t="shared" si="1199"/>
        <v>#NAME?</v>
      </c>
      <c r="AB94" t="e">
        <f t="shared" si="1200"/>
        <v>#NAME?</v>
      </c>
      <c r="AD94">
        <f t="shared" si="1204"/>
        <v>91</v>
      </c>
      <c r="AE94">
        <f t="shared" si="1201"/>
        <v>11.009228904367101</v>
      </c>
    </row>
    <row r="95">
      <c r="A95">
        <f t="shared" si="1202"/>
        <v>92</v>
      </c>
      <c r="B95">
        <v>9.672211664259164</v>
      </c>
      <c r="D95">
        <f t="shared" si="1203"/>
        <v>92</v>
      </c>
      <c r="E95" t="e">
        <f t="shared" si="1194"/>
        <v>#NAME?</v>
      </c>
      <c r="F95" t="e">
        <f t="shared" si="1205"/>
        <v>#NAME?</v>
      </c>
      <c r="V95">
        <f t="shared" si="1195"/>
        <v>92</v>
      </c>
      <c r="W95" t="e">
        <f t="shared" si="1196"/>
        <v>#NAME?</v>
      </c>
      <c r="X95" t="e">
        <f t="shared" si="1197"/>
        <v>#NAME?</v>
      </c>
      <c r="Y95" t="e">
        <f t="shared" si="1198"/>
        <v>#NAME?</v>
      </c>
      <c r="Z95" t="e">
        <f t="shared" si="1193"/>
        <v>#NAME?</v>
      </c>
      <c r="AA95" t="e">
        <f t="shared" si="1199"/>
        <v>#NAME?</v>
      </c>
      <c r="AB95" t="e">
        <f t="shared" si="1200"/>
        <v>#NAME?</v>
      </c>
      <c r="AD95">
        <f t="shared" si="1204"/>
        <v>92</v>
      </c>
      <c r="AE95">
        <f t="shared" si="1201"/>
        <v>9.6722116642591693</v>
      </c>
    </row>
    <row r="96">
      <c r="A96">
        <f t="shared" si="1202"/>
        <v>93</v>
      </c>
      <c r="B96">
        <v>8.0220551654262664</v>
      </c>
      <c r="D96">
        <f t="shared" si="1203"/>
        <v>93</v>
      </c>
      <c r="E96" t="e">
        <f t="shared" si="1194"/>
        <v>#NAME?</v>
      </c>
      <c r="F96" t="e">
        <f t="shared" si="1205"/>
        <v>#NAME?</v>
      </c>
      <c r="V96">
        <f t="shared" si="1195"/>
        <v>93</v>
      </c>
      <c r="W96" t="e">
        <f t="shared" si="1196"/>
        <v>#NAME?</v>
      </c>
      <c r="X96" t="e">
        <f t="shared" si="1197"/>
        <v>#NAME?</v>
      </c>
      <c r="Y96" t="e">
        <f t="shared" si="1198"/>
        <v>#NAME?</v>
      </c>
      <c r="Z96" t="e">
        <f t="shared" si="1193"/>
        <v>#NAME?</v>
      </c>
      <c r="AA96" t="e">
        <f t="shared" si="1199"/>
        <v>#NAME?</v>
      </c>
      <c r="AB96" t="e">
        <f t="shared" si="1200"/>
        <v>#NAME?</v>
      </c>
      <c r="AD96">
        <f t="shared" si="1204"/>
        <v>93</v>
      </c>
      <c r="AE96">
        <f t="shared" si="1201"/>
        <v>8.02205516542627</v>
      </c>
    </row>
    <row r="97">
      <c r="A97">
        <f t="shared" si="1202"/>
        <v>94</v>
      </c>
      <c r="B97">
        <v>9.1001604867082797</v>
      </c>
      <c r="D97">
        <f t="shared" si="1203"/>
        <v>94</v>
      </c>
      <c r="E97" t="e">
        <f t="shared" si="1194"/>
        <v>#NAME?</v>
      </c>
      <c r="F97" t="e">
        <f t="shared" si="1205"/>
        <v>#NAME?</v>
      </c>
      <c r="V97">
        <f t="shared" si="1195"/>
        <v>94</v>
      </c>
      <c r="W97" t="e">
        <f t="shared" si="1196"/>
        <v>#NAME?</v>
      </c>
      <c r="X97" t="e">
        <f t="shared" si="1197"/>
        <v>#NAME?</v>
      </c>
      <c r="Y97" t="e">
        <f t="shared" si="1198"/>
        <v>#NAME?</v>
      </c>
      <c r="Z97" t="e">
        <f t="shared" si="1193"/>
        <v>#NAME?</v>
      </c>
      <c r="AA97" t="e">
        <f t="shared" si="1199"/>
        <v>#NAME?</v>
      </c>
      <c r="AB97" t="e">
        <f t="shared" si="1200"/>
        <v>#NAME?</v>
      </c>
      <c r="AD97">
        <f t="shared" si="1204"/>
        <v>94</v>
      </c>
      <c r="AE97">
        <f t="shared" si="1201"/>
        <v>9.1001604867082797</v>
      </c>
    </row>
    <row r="98">
      <c r="A98">
        <f t="shared" si="1202"/>
        <v>95</v>
      </c>
      <c r="B98">
        <v>10.293563569831946</v>
      </c>
      <c r="D98">
        <f t="shared" si="1203"/>
        <v>95</v>
      </c>
      <c r="E98" t="e">
        <f t="shared" si="1194"/>
        <v>#NAME?</v>
      </c>
      <c r="F98" t="e">
        <f t="shared" si="1205"/>
        <v>#NAME?</v>
      </c>
      <c r="V98">
        <f t="shared" si="1195"/>
        <v>95</v>
      </c>
      <c r="W98" t="e">
        <f t="shared" si="1196"/>
        <v>#NAME?</v>
      </c>
      <c r="X98" t="e">
        <f t="shared" si="1197"/>
        <v>#NAME?</v>
      </c>
      <c r="Y98" t="e">
        <f t="shared" si="1198"/>
        <v>#NAME?</v>
      </c>
      <c r="Z98" t="e">
        <f t="shared" si="1193"/>
        <v>#NAME?</v>
      </c>
      <c r="AA98" t="e">
        <f t="shared" si="1199"/>
        <v>#NAME?</v>
      </c>
      <c r="AB98" t="e">
        <f t="shared" si="1200"/>
        <v>#NAME?</v>
      </c>
      <c r="AD98">
        <f t="shared" si="1204"/>
        <v>95</v>
      </c>
      <c r="AE98">
        <f t="shared" si="1201"/>
        <v>10.2935635698319</v>
      </c>
    </row>
    <row r="99">
      <c r="A99">
        <f t="shared" si="1202"/>
        <v>96</v>
      </c>
      <c r="B99">
        <v>10.874137892356456</v>
      </c>
      <c r="D99">
        <f t="shared" si="1203"/>
        <v>96</v>
      </c>
      <c r="E99" t="e">
        <f t="shared" si="1194"/>
        <v>#NAME?</v>
      </c>
      <c r="F99" t="e">
        <f t="shared" si="1205"/>
        <v>#NAME?</v>
      </c>
      <c r="V99">
        <f t="shared" si="1195"/>
        <v>96</v>
      </c>
      <c r="W99" t="e">
        <f t="shared" si="1196"/>
        <v>#NAME?</v>
      </c>
      <c r="X99" t="e">
        <f t="shared" si="1197"/>
        <v>#NAME?</v>
      </c>
      <c r="Y99" t="e">
        <f t="shared" si="1198"/>
        <v>#NAME?</v>
      </c>
      <c r="Z99" t="e">
        <f t="shared" si="1193"/>
        <v>#NAME?</v>
      </c>
      <c r="AA99" t="e">
        <f t="shared" si="1199"/>
        <v>#NAME?</v>
      </c>
      <c r="AB99" t="e">
        <f t="shared" si="1200"/>
        <v>#NAME?</v>
      </c>
      <c r="AD99">
        <f t="shared" si="1204"/>
        <v>96</v>
      </c>
      <c r="AE99">
        <f t="shared" si="1201"/>
        <v>10.874137892356501</v>
      </c>
    </row>
    <row r="100">
      <c r="A100">
        <f t="shared" si="1202"/>
        <v>97</v>
      </c>
      <c r="B100">
        <v>11.048588930382072</v>
      </c>
      <c r="D100">
        <f t="shared" si="1203"/>
        <v>97</v>
      </c>
      <c r="E100" t="e">
        <f t="shared" ref="E100:E108" si="1206">B100-J$6</f>
        <v>#NAME?</v>
      </c>
      <c r="F100" t="e">
        <f>E100-SUMPRODUCT(E98:E99,I$4:I$5)-SUMPRODUCT(F99,J$5)</f>
        <v>#NAME?</v>
      </c>
      <c r="V100">
        <f t="shared" ref="V100:V108" si="1207">D100</f>
        <v>97</v>
      </c>
      <c r="W100" t="e">
        <f t="shared" ref="W100:W108" si="1208">E100</f>
        <v>#NAME?</v>
      </c>
      <c r="X100" t="e">
        <f t="shared" ref="X100:X108" si="1209">F100</f>
        <v>#NAME?</v>
      </c>
      <c r="Y100" t="e">
        <f t="shared" ref="Y100:Y108" si="1210">W100-X100</f>
        <v>#NAME?</v>
      </c>
      <c r="Z100" t="e">
        <f t="shared" si="1193"/>
        <v>#NAME?</v>
      </c>
      <c r="AA100" t="e">
        <f t="shared" ref="AA100:AA113" si="1211">Y100-NORMSINV(1-Z$2/2)*Z100</f>
        <v>#NAME?</v>
      </c>
      <c r="AB100" t="e">
        <f t="shared" ref="AB100:AB113" si="1212">Y100+NORMSINV(1-Z$2/2)*Z100</f>
        <v>#NAME?</v>
      </c>
      <c r="AD100">
        <f t="shared" si="1204"/>
        <v>97</v>
      </c>
      <c r="AE100">
        <f t="shared" ref="AE100:AE108" si="1213">B100</f>
        <v>11.048588930382101</v>
      </c>
    </row>
    <row r="101">
      <c r="A101">
        <f t="shared" ref="A101:A108" si="1214">A100+1</f>
        <v>98</v>
      </c>
      <c r="B101">
        <v>10.377103608405848</v>
      </c>
      <c r="D101">
        <f t="shared" ref="D101:D108" si="1215">D100+1</f>
        <v>98</v>
      </c>
      <c r="E101" t="e">
        <f t="shared" si="1206"/>
        <v>#NAME?</v>
      </c>
      <c r="F101" t="e">
        <f>E101-SUMPRODUCT(E99:E100,I$4:I$5)-SUMPRODUCT(F100,J$5)</f>
        <v>#NAME?</v>
      </c>
      <c r="V101">
        <f t="shared" si="1207"/>
        <v>98</v>
      </c>
      <c r="W101" t="e">
        <f t="shared" si="1208"/>
        <v>#NAME?</v>
      </c>
      <c r="X101" t="e">
        <f t="shared" si="1209"/>
        <v>#NAME?</v>
      </c>
      <c r="Y101" t="e">
        <f t="shared" si="1210"/>
        <v>#NAME?</v>
      </c>
      <c r="Z101" t="e">
        <f t="shared" si="1193"/>
        <v>#NAME?</v>
      </c>
      <c r="AA101" t="e">
        <f t="shared" si="1211"/>
        <v>#NAME?</v>
      </c>
      <c r="AB101" t="e">
        <f t="shared" si="1212"/>
        <v>#NAME?</v>
      </c>
      <c r="AD101">
        <f t="shared" ref="AD101:AD113" si="1216">AD100+1</f>
        <v>98</v>
      </c>
      <c r="AE101">
        <f t="shared" si="1213"/>
        <v>10.3771036084059</v>
      </c>
    </row>
    <row r="102">
      <c r="A102">
        <f t="shared" si="1214"/>
        <v>99</v>
      </c>
      <c r="B102">
        <v>11.100733406475408</v>
      </c>
      <c r="D102">
        <f t="shared" si="1215"/>
        <v>99</v>
      </c>
      <c r="E102" t="e">
        <f t="shared" si="1206"/>
        <v>#NAME?</v>
      </c>
      <c r="F102" t="e">
        <f t="shared" ref="F102:F108" si="1217">E102-SUMPRODUCT(E100:E101,I$4:I$5)-SUMPRODUCT(F101,J$5)</f>
        <v>#NAME?</v>
      </c>
      <c r="V102">
        <f t="shared" si="1207"/>
        <v>99</v>
      </c>
      <c r="W102" t="e">
        <f t="shared" si="1208"/>
        <v>#NAME?</v>
      </c>
      <c r="X102" t="e">
        <f t="shared" si="1209"/>
        <v>#NAME?</v>
      </c>
      <c r="Y102" t="e">
        <f t="shared" si="1210"/>
        <v>#NAME?</v>
      </c>
      <c r="Z102" t="e">
        <f t="shared" si="1193"/>
        <v>#NAME?</v>
      </c>
      <c r="AA102" t="e">
        <f t="shared" si="1211"/>
        <v>#NAME?</v>
      </c>
      <c r="AB102" t="e">
        <f t="shared" si="1212"/>
        <v>#NAME?</v>
      </c>
      <c r="AD102">
        <f t="shared" si="1216"/>
        <v>99</v>
      </c>
      <c r="AE102">
        <f t="shared" si="1213"/>
        <v>11.100733406475401</v>
      </c>
    </row>
    <row r="103">
      <c r="A103">
        <f t="shared" si="1214"/>
        <v>100</v>
      </c>
      <c r="B103">
        <v>9.5564566897714425</v>
      </c>
      <c r="D103">
        <f t="shared" si="1215"/>
        <v>100</v>
      </c>
      <c r="E103" t="e">
        <f t="shared" si="1206"/>
        <v>#NAME?</v>
      </c>
      <c r="F103" t="e">
        <f t="shared" si="1217"/>
        <v>#NAME?</v>
      </c>
      <c r="V103">
        <f t="shared" si="1207"/>
        <v>100</v>
      </c>
      <c r="W103" t="e">
        <f t="shared" si="1208"/>
        <v>#NAME?</v>
      </c>
      <c r="X103" t="e">
        <f t="shared" si="1209"/>
        <v>#NAME?</v>
      </c>
      <c r="Y103" t="e">
        <f t="shared" si="1210"/>
        <v>#NAME?</v>
      </c>
      <c r="Z103" t="e">
        <f t="shared" si="1193"/>
        <v>#NAME?</v>
      </c>
      <c r="AA103" t="e">
        <f t="shared" si="1211"/>
        <v>#NAME?</v>
      </c>
      <c r="AB103" t="e">
        <f t="shared" si="1212"/>
        <v>#NAME?</v>
      </c>
      <c r="AD103">
        <f t="shared" si="1216"/>
        <v>100</v>
      </c>
      <c r="AE103">
        <f t="shared" si="1213"/>
        <v>9.5564566897714407</v>
      </c>
    </row>
    <row r="104">
      <c r="A104">
        <f t="shared" si="1214"/>
        <v>101</v>
      </c>
      <c r="B104">
        <v>10.126612012197912</v>
      </c>
      <c r="D104">
        <f t="shared" si="1215"/>
        <v>101</v>
      </c>
      <c r="E104" t="e">
        <f t="shared" si="1206"/>
        <v>#NAME?</v>
      </c>
      <c r="F104" t="e">
        <f t="shared" si="1217"/>
        <v>#NAME?</v>
      </c>
      <c r="V104">
        <f t="shared" si="1207"/>
        <v>101</v>
      </c>
      <c r="W104" t="e">
        <f t="shared" si="1208"/>
        <v>#NAME?</v>
      </c>
      <c r="X104" t="e">
        <f t="shared" si="1209"/>
        <v>#NAME?</v>
      </c>
      <c r="Y104" t="e">
        <f t="shared" si="1210"/>
        <v>#NAME?</v>
      </c>
      <c r="Z104" t="e">
        <f t="shared" si="1193"/>
        <v>#NAME?</v>
      </c>
      <c r="AA104" t="e">
        <f t="shared" si="1211"/>
        <v>#NAME?</v>
      </c>
      <c r="AB104" t="e">
        <f t="shared" si="1212"/>
        <v>#NAME?</v>
      </c>
      <c r="AD104">
        <f t="shared" si="1216"/>
        <v>101</v>
      </c>
      <c r="AE104">
        <f t="shared" si="1213"/>
        <v>10.126612012197899</v>
      </c>
    </row>
    <row r="105">
      <c r="A105">
        <f t="shared" si="1214"/>
        <v>102</v>
      </c>
      <c r="B105">
        <v>10.618656799718755</v>
      </c>
      <c r="D105">
        <f t="shared" si="1215"/>
        <v>102</v>
      </c>
      <c r="E105" t="e">
        <f t="shared" si="1206"/>
        <v>#NAME?</v>
      </c>
      <c r="F105" t="e">
        <f t="shared" si="1217"/>
        <v>#NAME?</v>
      </c>
      <c r="V105">
        <f t="shared" si="1207"/>
        <v>102</v>
      </c>
      <c r="W105" t="e">
        <f t="shared" si="1208"/>
        <v>#NAME?</v>
      </c>
      <c r="X105" t="e">
        <f t="shared" si="1209"/>
        <v>#NAME?</v>
      </c>
      <c r="Y105" t="e">
        <f t="shared" si="1210"/>
        <v>#NAME?</v>
      </c>
      <c r="Z105" t="e">
        <f t="shared" si="1193"/>
        <v>#NAME?</v>
      </c>
      <c r="AA105" t="e">
        <f t="shared" si="1211"/>
        <v>#NAME?</v>
      </c>
      <c r="AB105" t="e">
        <f t="shared" si="1212"/>
        <v>#NAME?</v>
      </c>
      <c r="AD105">
        <f t="shared" si="1216"/>
        <v>102</v>
      </c>
      <c r="AE105">
        <f t="shared" si="1213"/>
        <v>10.618656799718799</v>
      </c>
    </row>
    <row r="106">
      <c r="A106">
        <f t="shared" si="1214"/>
        <v>103</v>
      </c>
      <c r="B106">
        <v>11.369377647513677</v>
      </c>
      <c r="D106">
        <f t="shared" si="1215"/>
        <v>103</v>
      </c>
      <c r="E106" t="e">
        <f t="shared" si="1206"/>
        <v>#NAME?</v>
      </c>
      <c r="F106" t="e">
        <f t="shared" si="1217"/>
        <v>#NAME?</v>
      </c>
      <c r="V106">
        <f t="shared" si="1207"/>
        <v>103</v>
      </c>
      <c r="W106" t="e">
        <f t="shared" si="1208"/>
        <v>#NAME?</v>
      </c>
      <c r="X106" t="e">
        <f t="shared" si="1209"/>
        <v>#NAME?</v>
      </c>
      <c r="Y106" t="e">
        <f t="shared" si="1210"/>
        <v>#NAME?</v>
      </c>
      <c r="Z106" t="e">
        <f t="shared" si="1193"/>
        <v>#NAME?</v>
      </c>
      <c r="AA106" t="e">
        <f t="shared" si="1211"/>
        <v>#NAME?</v>
      </c>
      <c r="AB106" t="e">
        <f t="shared" si="1212"/>
        <v>#NAME?</v>
      </c>
      <c r="AD106">
        <f t="shared" si="1216"/>
        <v>103</v>
      </c>
      <c r="AE106">
        <f t="shared" si="1213"/>
        <v>11.3693776475137</v>
      </c>
    </row>
    <row r="107">
      <c r="A107">
        <f t="shared" si="1214"/>
        <v>104</v>
      </c>
      <c r="B107">
        <v>10.761442220235375</v>
      </c>
      <c r="D107">
        <f t="shared" si="1215"/>
        <v>104</v>
      </c>
      <c r="E107" t="e">
        <f t="shared" si="1206"/>
        <v>#NAME?</v>
      </c>
      <c r="F107" t="e">
        <f t="shared" si="1217"/>
        <v>#NAME?</v>
      </c>
      <c r="V107">
        <f t="shared" si="1207"/>
        <v>104</v>
      </c>
      <c r="W107" t="e">
        <f t="shared" si="1208"/>
        <v>#NAME?</v>
      </c>
      <c r="X107" t="e">
        <f t="shared" si="1209"/>
        <v>#NAME?</v>
      </c>
      <c r="Y107" t="e">
        <f t="shared" si="1210"/>
        <v>#NAME?</v>
      </c>
      <c r="Z107" t="e">
        <f t="shared" si="1193"/>
        <v>#NAME?</v>
      </c>
      <c r="AA107" t="e">
        <f t="shared" si="1211"/>
        <v>#NAME?</v>
      </c>
      <c r="AB107" t="e">
        <f t="shared" si="1212"/>
        <v>#NAME?</v>
      </c>
      <c r="AD107">
        <f t="shared" si="1216"/>
        <v>104</v>
      </c>
      <c r="AE107">
        <f t="shared" si="1213"/>
        <v>10.7614422202354</v>
      </c>
    </row>
    <row r="108">
      <c r="A108">
        <f t="shared" si="1214"/>
        <v>105</v>
      </c>
      <c r="B108" s="14">
        <v>11.954765055482961</v>
      </c>
      <c r="D108" s="14">
        <f t="shared" si="1215"/>
        <v>105</v>
      </c>
      <c r="E108" s="14" t="e">
        <f t="shared" si="1206"/>
        <v>#NAME?</v>
      </c>
      <c r="F108" s="14" t="e">
        <f t="shared" si="1217"/>
        <v>#NAME?</v>
      </c>
      <c r="V108">
        <f t="shared" si="1207"/>
        <v>105</v>
      </c>
      <c r="W108" t="e">
        <f t="shared" si="1208"/>
        <v>#NAME?</v>
      </c>
      <c r="X108" t="e">
        <f t="shared" si="1209"/>
        <v>#NAME?</v>
      </c>
      <c r="Y108" t="e">
        <f t="shared" si="1210"/>
        <v>#NAME?</v>
      </c>
      <c r="Z108" t="e">
        <f t="shared" si="1193"/>
        <v>#NAME?</v>
      </c>
      <c r="AA108" t="e">
        <f t="shared" si="1211"/>
        <v>#NAME?</v>
      </c>
      <c r="AB108" t="e">
        <f t="shared" si="1212"/>
        <v>#NAME?</v>
      </c>
      <c r="AD108" s="14">
        <f t="shared" si="1216"/>
        <v>105</v>
      </c>
      <c r="AE108" s="14">
        <f t="shared" si="1213"/>
        <v>11.954765055483</v>
      </c>
    </row>
    <row r="109">
      <c r="V109">
        <f t="shared" ref="V109:V113" si="1218">V108+1</f>
        <v>106</v>
      </c>
      <c r="Y109" t="e">
        <f>SUMPRODUCT(W107:W108,I$4:I$5)+SUMPRODUCT(X108,J$5)</f>
        <v>#NAME?</v>
      </c>
      <c r="Z109" t="e">
        <f t="shared" ref="Z109:Z113" si="1219">J$15*SQRT(SUMSQ(M$15:M15))</f>
        <v>#NAME?</v>
      </c>
      <c r="AA109" t="e">
        <f t="shared" si="1211"/>
        <v>#NAME?</v>
      </c>
      <c r="AB109" t="e">
        <f t="shared" si="1212"/>
        <v>#NAME?</v>
      </c>
      <c r="AD109">
        <f t="shared" si="1216"/>
        <v>106</v>
      </c>
      <c r="AE109" t="e">
        <f t="shared" ref="AE109:AE113" si="1220">Y109+J$6</f>
        <v>#NAME?</v>
      </c>
    </row>
    <row r="110">
      <c r="V110">
        <f t="shared" si="1218"/>
        <v>107</v>
      </c>
      <c r="Y110" t="e">
        <f>SUMPRODUCT(W108,I4)+SUMPRODUCT(Y109,I5)</f>
        <v>#NAME?</v>
      </c>
      <c r="Z110" t="e">
        <f t="shared" si="1219"/>
        <v>#NAME?</v>
      </c>
      <c r="AA110" t="e">
        <f t="shared" si="1211"/>
        <v>#NAME?</v>
      </c>
      <c r="AB110" t="e">
        <f t="shared" si="1212"/>
        <v>#NAME?</v>
      </c>
      <c r="AD110">
        <f t="shared" si="1216"/>
        <v>107</v>
      </c>
      <c r="AE110" t="e">
        <f t="shared" si="1220"/>
        <v>#NAME?</v>
      </c>
    </row>
    <row r="111">
      <c r="V111">
        <f t="shared" si="1218"/>
        <v>108</v>
      </c>
      <c r="Y111" t="e">
        <f>SUMPRODUCT(Y109:Y110,I4:I5)</f>
        <v>#NAME?</v>
      </c>
      <c r="Z111" t="e">
        <f t="shared" si="1219"/>
        <v>#NAME?</v>
      </c>
      <c r="AA111" t="e">
        <f t="shared" si="1211"/>
        <v>#NAME?</v>
      </c>
      <c r="AB111" t="e">
        <f t="shared" si="1212"/>
        <v>#NAME?</v>
      </c>
      <c r="AD111">
        <f t="shared" si="1216"/>
        <v>108</v>
      </c>
      <c r="AE111" t="e">
        <f t="shared" si="1220"/>
        <v>#NAME?</v>
      </c>
    </row>
    <row r="112">
      <c r="V112">
        <f t="shared" si="1218"/>
        <v>109</v>
      </c>
      <c r="Y112" t="e">
        <f>SUMPRODUCT(Y110:Y111,I4:I5)</f>
        <v>#NAME?</v>
      </c>
      <c r="Z112" t="e">
        <f t="shared" si="1219"/>
        <v>#NAME?</v>
      </c>
      <c r="AA112" t="e">
        <f t="shared" si="1211"/>
        <v>#NAME?</v>
      </c>
      <c r="AB112" t="e">
        <f t="shared" si="1212"/>
        <v>#NAME?</v>
      </c>
      <c r="AD112">
        <f t="shared" si="1216"/>
        <v>109</v>
      </c>
      <c r="AE112" t="e">
        <f t="shared" si="1220"/>
        <v>#NAME?</v>
      </c>
    </row>
    <row r="113">
      <c r="V113" s="14">
        <f t="shared" si="1218"/>
        <v>110</v>
      </c>
      <c r="W113" s="14"/>
      <c r="X113" s="14"/>
      <c r="Y113" s="14" t="e">
        <f>SUMPRODUCT(Y111:Y112,I4:I5)</f>
        <v>#NAME?</v>
      </c>
      <c r="Z113" s="14" t="e">
        <f t="shared" si="1219"/>
        <v>#NAME?</v>
      </c>
      <c r="AA113" s="14" t="e">
        <f t="shared" si="1211"/>
        <v>#NAME?</v>
      </c>
      <c r="AB113" s="14" t="e">
        <f t="shared" si="1212"/>
        <v>#NAME?</v>
      </c>
      <c r="AD113" s="14">
        <f t="shared" si="1216"/>
        <v>110</v>
      </c>
      <c r="AE113" s="14" t="e">
        <f t="shared" si="1220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4" max="4" width="9.1785709999999998"/>
    <col customWidth="1" min="7" max="7" width="9.1785709999999998"/>
    <col customWidth="1" min="10" max="10" width="9.1785709999999998"/>
  </cols>
  <sheetData>
    <row r="1">
      <c r="A1" s="1" t="s">
        <v>587</v>
      </c>
      <c r="D1" t="s">
        <v>578</v>
      </c>
      <c r="H1" t="s">
        <v>475</v>
      </c>
      <c r="L1" t="s">
        <v>476</v>
      </c>
      <c r="P1" t="s">
        <v>477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391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 t="e">
        <f t="shared" ref="E4:E9" si="1221">B4-J$6</f>
        <v>#NAME?</v>
      </c>
      <c r="F4">
        <v>0</v>
      </c>
      <c r="H4" s="15">
        <v>2</v>
      </c>
      <c r="I4" t="e">
        <f>Q6</f>
        <v>#NAME?</v>
      </c>
      <c r="J4" t="e">
        <f>Q8</f>
        <v>#NAME?</v>
      </c>
      <c r="L4" t="e">
        <v>#NAME?</v>
      </c>
      <c r="M4" t="e">
        <v>#NAME?</v>
      </c>
      <c r="N4" t="e">
        <v>#NAME?</v>
      </c>
      <c r="P4" t="s">
        <v>494</v>
      </c>
      <c r="Q4" t="e">
        <v>#NAME?</v>
      </c>
      <c r="R4" t="e">
        <v>#NAME?</v>
      </c>
      <c r="S4" t="e">
        <f t="shared" ref="S4:S8" si="1222">Q4/R4</f>
        <v>#NAME?</v>
      </c>
      <c r="T4" t="e">
        <f t="shared" ref="T4:T8" si="1223">TDIST(ABS(S4),J$18-J$10-J$11-1,2)</f>
        <v>#NAME?</v>
      </c>
      <c r="V4">
        <f t="shared" ref="V4:V9" si="1224">D4</f>
        <v>1</v>
      </c>
      <c r="W4" t="e">
        <f t="shared" ref="W4:W9" si="1225">E4</f>
        <v>#NAME?</v>
      </c>
      <c r="X4">
        <f t="shared" ref="X4:X9" si="1226">F4</f>
        <v>0</v>
      </c>
      <c r="Y4" t="e">
        <f t="shared" ref="Y4:Y9" si="1227">W4-X4</f>
        <v>#NAME?</v>
      </c>
      <c r="Z4" t="e">
        <f t="shared" ref="Z4:Z67" si="1228">J$15</f>
        <v>#NAME?</v>
      </c>
      <c r="AA4" t="e">
        <f t="shared" ref="AA4:AA9" si="1229">Y4-NORMSINV(1-Z$2/2)*Z4</f>
        <v>#NAME?</v>
      </c>
      <c r="AB4" t="e">
        <f t="shared" ref="AB4:AB9" si="1230">Y4+NORMSINV(1-Z$2/2)*Z4</f>
        <v>#NAME?</v>
      </c>
      <c r="AD4">
        <v>1</v>
      </c>
      <c r="AE4">
        <f t="shared" ref="AE4:AE9" si="1231">B4</f>
        <v>3.1176756475655401</v>
      </c>
    </row>
    <row r="5">
      <c r="A5">
        <f t="shared" ref="A5:A10" si="1232">A4+1</f>
        <v>2</v>
      </c>
      <c r="B5">
        <v>5.8082510857989273</v>
      </c>
      <c r="D5">
        <f t="shared" ref="D5:D10" si="1233">D4+1</f>
        <v>2</v>
      </c>
      <c r="E5" t="e">
        <f t="shared" si="1221"/>
        <v>#NAME?</v>
      </c>
      <c r="F5">
        <v>0</v>
      </c>
      <c r="H5" s="15">
        <f>H4-1</f>
        <v>1</v>
      </c>
      <c r="I5" t="e">
        <f>Q5</f>
        <v>#NAME?</v>
      </c>
      <c r="J5" t="e">
        <f>Q7</f>
        <v>#NAME?</v>
      </c>
      <c r="L5" s="14" t="e">
        <v>#NAME?</v>
      </c>
      <c r="M5" s="14" t="e">
        <v>#NAME?</v>
      </c>
      <c r="N5" s="14" t="e">
        <v>#NAME?</v>
      </c>
      <c r="P5" t="s">
        <v>488</v>
      </c>
      <c r="Q5" t="e">
        <v>#NAME?</v>
      </c>
      <c r="R5" t="e">
        <v>#NAME?</v>
      </c>
      <c r="S5" t="e">
        <f t="shared" si="1222"/>
        <v>#NAME?</v>
      </c>
      <c r="T5" t="e">
        <f t="shared" si="1223"/>
        <v>#NAME?</v>
      </c>
      <c r="V5">
        <f t="shared" si="1224"/>
        <v>2</v>
      </c>
      <c r="W5" t="e">
        <f t="shared" si="1225"/>
        <v>#NAME?</v>
      </c>
      <c r="X5">
        <f t="shared" si="1226"/>
        <v>0</v>
      </c>
      <c r="Y5" t="e">
        <f t="shared" si="1227"/>
        <v>#NAME?</v>
      </c>
      <c r="Z5" t="e">
        <f t="shared" si="1228"/>
        <v>#NAME?</v>
      </c>
      <c r="AA5" t="e">
        <f t="shared" si="1229"/>
        <v>#NAME?</v>
      </c>
      <c r="AB5" t="e">
        <f t="shared" si="1230"/>
        <v>#NAME?</v>
      </c>
      <c r="AD5">
        <f t="shared" ref="AD5:AD10" si="1234">AD4+1</f>
        <v>2</v>
      </c>
      <c r="AE5">
        <f t="shared" si="1231"/>
        <v>5.80825108579893</v>
      </c>
    </row>
    <row r="6">
      <c r="A6">
        <f t="shared" si="1232"/>
        <v>3</v>
      </c>
      <c r="B6">
        <v>4.9067685983817757</v>
      </c>
      <c r="D6">
        <f t="shared" si="1233"/>
        <v>3</v>
      </c>
      <c r="E6" t="e">
        <f t="shared" si="1221"/>
        <v>#NAME?</v>
      </c>
      <c r="F6" t="e">
        <f t="shared" ref="F6:F9" si="1235">E6-SUMPRODUCT(E4:E5,I$4:I$5)-SUMPRODUCT(F4:F5,J$4:J$5)</f>
        <v>#NAME?</v>
      </c>
      <c r="H6" s="17" t="s">
        <v>494</v>
      </c>
      <c r="I6" s="14" t="e">
        <f>Q4</f>
        <v>#NAME?</v>
      </c>
      <c r="J6" s="14" t="e">
        <f>I6/(1-SUM(I4:I5))</f>
        <v>#NAME?</v>
      </c>
      <c r="P6" t="s">
        <v>489</v>
      </c>
      <c r="Q6" t="e">
        <v>#NAME?</v>
      </c>
      <c r="R6" t="e">
        <v>#NAME?</v>
      </c>
      <c r="S6" t="e">
        <f t="shared" si="1222"/>
        <v>#NAME?</v>
      </c>
      <c r="T6" t="e">
        <f t="shared" si="1223"/>
        <v>#NAME?</v>
      </c>
      <c r="V6">
        <f t="shared" si="1224"/>
        <v>3</v>
      </c>
      <c r="W6" t="e">
        <f t="shared" si="1225"/>
        <v>#NAME?</v>
      </c>
      <c r="X6" t="e">
        <f t="shared" si="1226"/>
        <v>#NAME?</v>
      </c>
      <c r="Y6" t="e">
        <f t="shared" si="1227"/>
        <v>#NAME?</v>
      </c>
      <c r="Z6" t="e">
        <f t="shared" si="1228"/>
        <v>#NAME?</v>
      </c>
      <c r="AA6" t="e">
        <f t="shared" si="1229"/>
        <v>#NAME?</v>
      </c>
      <c r="AB6" t="e">
        <f t="shared" si="1230"/>
        <v>#NAME?</v>
      </c>
      <c r="AD6">
        <f t="shared" si="1234"/>
        <v>3</v>
      </c>
      <c r="AE6">
        <f t="shared" si="1231"/>
        <v>4.9067685983817801</v>
      </c>
    </row>
    <row r="7">
      <c r="A7">
        <f t="shared" si="1232"/>
        <v>4</v>
      </c>
      <c r="B7">
        <v>6.1194744822602418</v>
      </c>
      <c r="D7">
        <f t="shared" si="1233"/>
        <v>4</v>
      </c>
      <c r="E7" t="e">
        <f t="shared" si="1221"/>
        <v>#NAME?</v>
      </c>
      <c r="F7" t="e">
        <f t="shared" si="1235"/>
        <v>#NAME?</v>
      </c>
      <c r="L7" t="s">
        <v>495</v>
      </c>
      <c r="P7" t="s">
        <v>581</v>
      </c>
      <c r="Q7" t="e">
        <v>#NAME?</v>
      </c>
      <c r="R7" t="e">
        <v>#NAME?</v>
      </c>
      <c r="S7" t="e">
        <f t="shared" si="1222"/>
        <v>#NAME?</v>
      </c>
      <c r="T7" t="e">
        <f t="shared" si="1223"/>
        <v>#NAME?</v>
      </c>
      <c r="V7">
        <f t="shared" si="1224"/>
        <v>4</v>
      </c>
      <c r="W7" t="e">
        <f t="shared" si="1225"/>
        <v>#NAME?</v>
      </c>
      <c r="X7" t="e">
        <f t="shared" si="1226"/>
        <v>#NAME?</v>
      </c>
      <c r="Y7" t="e">
        <f t="shared" si="1227"/>
        <v>#NAME?</v>
      </c>
      <c r="Z7" t="e">
        <f t="shared" si="1228"/>
        <v>#NAME?</v>
      </c>
      <c r="AA7" t="e">
        <f t="shared" si="1229"/>
        <v>#NAME?</v>
      </c>
      <c r="AB7" t="e">
        <f t="shared" si="1230"/>
        <v>#NAME?</v>
      </c>
      <c r="AD7">
        <f t="shared" si="1234"/>
        <v>4</v>
      </c>
      <c r="AE7">
        <f t="shared" si="1231"/>
        <v>6.11947448226024</v>
      </c>
    </row>
    <row r="8">
      <c r="A8">
        <f t="shared" si="1232"/>
        <v>5</v>
      </c>
      <c r="B8">
        <v>8.1353263117657075</v>
      </c>
      <c r="D8">
        <f t="shared" si="1233"/>
        <v>5</v>
      </c>
      <c r="E8" t="e">
        <f t="shared" si="1221"/>
        <v>#NAME?</v>
      </c>
      <c r="F8" t="e">
        <f t="shared" si="1235"/>
        <v>#NAME?</v>
      </c>
      <c r="I8" t="s">
        <v>464</v>
      </c>
      <c r="J8" s="18" t="e">
        <f>SUMSQ(F6:F108)</f>
        <v>#NAME?</v>
      </c>
      <c r="P8" s="14" t="s">
        <v>588</v>
      </c>
      <c r="Q8" s="14" t="e">
        <v>#NAME?</v>
      </c>
      <c r="R8" s="14" t="e">
        <v>#NAME?</v>
      </c>
      <c r="S8" s="14" t="e">
        <f t="shared" si="1222"/>
        <v>#NAME?</v>
      </c>
      <c r="T8" s="14" t="e">
        <f t="shared" si="1223"/>
        <v>#NAME?</v>
      </c>
      <c r="V8">
        <f t="shared" si="1224"/>
        <v>5</v>
      </c>
      <c r="W8" t="e">
        <f t="shared" si="1225"/>
        <v>#NAME?</v>
      </c>
      <c r="X8" t="e">
        <f t="shared" si="1226"/>
        <v>#NAME?</v>
      </c>
      <c r="Y8" t="e">
        <f t="shared" si="1227"/>
        <v>#NAME?</v>
      </c>
      <c r="Z8" t="e">
        <f t="shared" si="1228"/>
        <v>#NAME?</v>
      </c>
      <c r="AA8" t="e">
        <f t="shared" si="1229"/>
        <v>#NAME?</v>
      </c>
      <c r="AB8" t="e">
        <f t="shared" si="1230"/>
        <v>#NAME?</v>
      </c>
      <c r="AD8">
        <f t="shared" si="1234"/>
        <v>5</v>
      </c>
      <c r="AE8">
        <f t="shared" si="1231"/>
        <v>8.1353263117657093</v>
      </c>
    </row>
    <row r="9">
      <c r="A9">
        <f t="shared" si="1232"/>
        <v>6</v>
      </c>
      <c r="B9">
        <v>9.3448674266459744</v>
      </c>
      <c r="D9">
        <f t="shared" si="1233"/>
        <v>6</v>
      </c>
      <c r="E9" t="e">
        <f t="shared" si="1221"/>
        <v>#NAME?</v>
      </c>
      <c r="F9" t="e">
        <f t="shared" si="1235"/>
        <v>#NAME?</v>
      </c>
      <c r="L9" s="24" t="s">
        <v>469</v>
      </c>
      <c r="M9" s="24" t="s">
        <v>470</v>
      </c>
      <c r="N9" s="24" t="s">
        <v>484</v>
      </c>
      <c r="V9">
        <f t="shared" si="1224"/>
        <v>6</v>
      </c>
      <c r="W9" t="e">
        <f t="shared" si="1225"/>
        <v>#NAME?</v>
      </c>
      <c r="X9" t="e">
        <f t="shared" si="1226"/>
        <v>#NAME?</v>
      </c>
      <c r="Y9" t="e">
        <f t="shared" si="1227"/>
        <v>#NAME?</v>
      </c>
      <c r="Z9" t="e">
        <f t="shared" si="1228"/>
        <v>#NAME?</v>
      </c>
      <c r="AA9" t="e">
        <f t="shared" si="1229"/>
        <v>#NAME?</v>
      </c>
      <c r="AB9" t="e">
        <f t="shared" si="1230"/>
        <v>#NAME?</v>
      </c>
      <c r="AD9">
        <f t="shared" si="1234"/>
        <v>6</v>
      </c>
      <c r="AE9">
        <f t="shared" si="1231"/>
        <v>9.3448674266459797</v>
      </c>
    </row>
    <row r="10">
      <c r="A10">
        <f t="shared" si="1232"/>
        <v>7</v>
      </c>
      <c r="B10">
        <v>9.1476506838871607</v>
      </c>
      <c r="D10">
        <f t="shared" si="1233"/>
        <v>7</v>
      </c>
      <c r="E10" t="e">
        <f t="shared" ref="E10:E73" si="1236">B10-J$6</f>
        <v>#NAME?</v>
      </c>
      <c r="F10" t="e">
        <f>E10-SUMPRODUCT(E8:E9,I$4:I$5)-SUMPRODUCT(F8:F9,J$4:J$5)</f>
        <v>#NAME?</v>
      </c>
      <c r="I10" t="s">
        <v>497</v>
      </c>
      <c r="J10" s="7">
        <v>2</v>
      </c>
      <c r="L10" t="e">
        <v>#NAME?</v>
      </c>
      <c r="M10" t="e">
        <v>#NAME?</v>
      </c>
      <c r="N10" t="e">
        <v>#NAME?</v>
      </c>
      <c r="P10" t="e">
        <v>#NAME?</v>
      </c>
      <c r="Q10" t="e">
        <v>#NAME?</v>
      </c>
      <c r="R10" t="e">
        <v>#NAME?</v>
      </c>
      <c r="S10" t="e">
        <v>#NAME?</v>
      </c>
      <c r="T10" t="e">
        <v>#NAME?</v>
      </c>
      <c r="V10">
        <f t="shared" ref="V10:V73" si="1237">D10</f>
        <v>7</v>
      </c>
      <c r="W10" t="e">
        <f t="shared" ref="W10:W73" si="1238">E10</f>
        <v>#NAME?</v>
      </c>
      <c r="X10" t="e">
        <f t="shared" ref="X10:X73" si="1239">F10</f>
        <v>#NAME?</v>
      </c>
      <c r="Y10" t="e">
        <f t="shared" ref="Y10:Y73" si="1240">W10-X10</f>
        <v>#NAME?</v>
      </c>
      <c r="Z10" t="e">
        <f t="shared" si="1228"/>
        <v>#NAME?</v>
      </c>
      <c r="AA10" t="e">
        <f t="shared" ref="AA10:AA73" si="1241">Y10-NORMSINV(1-Z$2/2)*Z10</f>
        <v>#NAME?</v>
      </c>
      <c r="AB10" t="e">
        <f t="shared" ref="AB10:AB73" si="1242">Y10+NORMSINV(1-Z$2/2)*Z10</f>
        <v>#NAME?</v>
      </c>
      <c r="AD10">
        <f t="shared" si="1234"/>
        <v>7</v>
      </c>
      <c r="AE10">
        <f t="shared" ref="AE10:AE73" si="1243">B10</f>
        <v>9.1476506838871607</v>
      </c>
    </row>
    <row r="11">
      <c r="A11">
        <f t="shared" ref="A11:A74" si="1244">A10+1</f>
        <v>8</v>
      </c>
      <c r="B11">
        <v>8.101493281302977</v>
      </c>
      <c r="D11">
        <f t="shared" ref="D11:D74" si="1245">D10+1</f>
        <v>8</v>
      </c>
      <c r="E11" t="e">
        <f t="shared" si="1236"/>
        <v>#NAME?</v>
      </c>
      <c r="F11" t="e">
        <f>E11-SUMPRODUCT(E9:E10,I$4:I$5)-SUMPRODUCT(F9:F10,J$4:J$5)</f>
        <v>#NAME?</v>
      </c>
      <c r="I11" t="s">
        <v>498</v>
      </c>
      <c r="J11" s="10">
        <v>2</v>
      </c>
      <c r="L11" s="14" t="e">
        <v>#NAME?</v>
      </c>
      <c r="M11" s="14" t="e">
        <v>#NAME?</v>
      </c>
      <c r="N11" s="14" t="e">
        <v>#NAME?</v>
      </c>
      <c r="P11" t="e">
        <v>#NAME?</v>
      </c>
      <c r="Q11" s="5" t="e">
        <v>#NAME?</v>
      </c>
      <c r="R11" s="42" t="e">
        <v>#NAME?</v>
      </c>
      <c r="S11" s="42" t="e">
        <v>#NAME?</v>
      </c>
      <c r="T11" s="6" t="e">
        <v>#NAME?</v>
      </c>
      <c r="V11">
        <f t="shared" si="1237"/>
        <v>8</v>
      </c>
      <c r="W11" t="e">
        <f t="shared" si="1238"/>
        <v>#NAME?</v>
      </c>
      <c r="X11" t="e">
        <f t="shared" si="1239"/>
        <v>#NAME?</v>
      </c>
      <c r="Y11" t="e">
        <f t="shared" si="1240"/>
        <v>#NAME?</v>
      </c>
      <c r="Z11" t="e">
        <f t="shared" si="1228"/>
        <v>#NAME?</v>
      </c>
      <c r="AA11" t="e">
        <f t="shared" si="1241"/>
        <v>#NAME?</v>
      </c>
      <c r="AB11" t="e">
        <f t="shared" si="1242"/>
        <v>#NAME?</v>
      </c>
      <c r="AD11">
        <f t="shared" ref="AD11:AD74" si="1246">AD10+1</f>
        <v>8</v>
      </c>
      <c r="AE11">
        <f t="shared" si="1243"/>
        <v>8.1014932813029805</v>
      </c>
    </row>
    <row r="12">
      <c r="A12">
        <f t="shared" si="1244"/>
        <v>9</v>
      </c>
      <c r="B12">
        <v>10.146419029172929</v>
      </c>
      <c r="D12">
        <f t="shared" si="1245"/>
        <v>9</v>
      </c>
      <c r="E12" t="e">
        <f t="shared" si="1236"/>
        <v>#NAME?</v>
      </c>
      <c r="F12" t="e">
        <f t="shared" ref="F12:F75" si="1247">E12-SUMPRODUCT(E10:E11,I$4:I$5)-SUMPRODUCT(F10:F11,J$4:J$5)</f>
        <v>#NAME?</v>
      </c>
      <c r="I12" t="s">
        <v>181</v>
      </c>
      <c r="J12" s="10">
        <v>0</v>
      </c>
      <c r="P12" t="e">
        <v>#NAME?</v>
      </c>
      <c r="Q12" s="8" t="e">
        <v>#NAME?</v>
      </c>
      <c r="R12" t="e">
        <v>#NAME?</v>
      </c>
      <c r="S12" t="e">
        <v>#NAME?</v>
      </c>
      <c r="T12" s="9" t="e">
        <v>#NAME?</v>
      </c>
      <c r="V12">
        <f t="shared" si="1237"/>
        <v>9</v>
      </c>
      <c r="W12" t="e">
        <f t="shared" si="1238"/>
        <v>#NAME?</v>
      </c>
      <c r="X12" t="e">
        <f t="shared" si="1239"/>
        <v>#NAME?</v>
      </c>
      <c r="Y12" t="e">
        <f t="shared" si="1240"/>
        <v>#NAME?</v>
      </c>
      <c r="Z12" t="e">
        <f t="shared" si="1228"/>
        <v>#NAME?</v>
      </c>
      <c r="AA12" t="e">
        <f t="shared" si="1241"/>
        <v>#NAME?</v>
      </c>
      <c r="AB12" t="e">
        <f t="shared" si="1242"/>
        <v>#NAME?</v>
      </c>
      <c r="AD12">
        <f t="shared" si="1246"/>
        <v>9</v>
      </c>
      <c r="AE12">
        <f t="shared" si="1243"/>
        <v>10.1464190291729</v>
      </c>
    </row>
    <row r="13">
      <c r="A13">
        <f t="shared" si="1244"/>
        <v>10</v>
      </c>
      <c r="B13">
        <v>11.045196349004179</v>
      </c>
      <c r="D13">
        <f t="shared" si="1245"/>
        <v>10</v>
      </c>
      <c r="E13" t="e">
        <f t="shared" si="1236"/>
        <v>#NAME?</v>
      </c>
      <c r="F13" t="e">
        <f t="shared" si="1247"/>
        <v>#NAME?</v>
      </c>
      <c r="I13" t="s">
        <v>500</v>
      </c>
      <c r="J13" s="10" t="e">
        <f>AVERAGE(F6:F108)</f>
        <v>#NAME?</v>
      </c>
      <c r="L13" t="s">
        <v>499</v>
      </c>
      <c r="P13" t="e">
        <v>#NAME?</v>
      </c>
      <c r="Q13" s="8" t="e">
        <v>#NAME?</v>
      </c>
      <c r="R13" t="e">
        <v>#NAME?</v>
      </c>
      <c r="S13" t="e">
        <v>#NAME?</v>
      </c>
      <c r="T13" s="9" t="e">
        <v>#NAME?</v>
      </c>
      <c r="V13">
        <f t="shared" si="1237"/>
        <v>10</v>
      </c>
      <c r="W13" t="e">
        <f t="shared" si="1238"/>
        <v>#NAME?</v>
      </c>
      <c r="X13" t="e">
        <f t="shared" si="1239"/>
        <v>#NAME?</v>
      </c>
      <c r="Y13" t="e">
        <f t="shared" si="1240"/>
        <v>#NAME?</v>
      </c>
      <c r="Z13" t="e">
        <f t="shared" si="1228"/>
        <v>#NAME?</v>
      </c>
      <c r="AA13" t="e">
        <f t="shared" si="1241"/>
        <v>#NAME?</v>
      </c>
      <c r="AB13" t="e">
        <f t="shared" si="1242"/>
        <v>#NAME?</v>
      </c>
      <c r="AD13">
        <f t="shared" si="1246"/>
        <v>10</v>
      </c>
      <c r="AE13">
        <f t="shared" si="1243"/>
        <v>11.0451963490042</v>
      </c>
    </row>
    <row r="14">
      <c r="A14">
        <f t="shared" si="1244"/>
        <v>11</v>
      </c>
      <c r="B14">
        <v>10.122578080182986</v>
      </c>
      <c r="D14">
        <f t="shared" si="1245"/>
        <v>11</v>
      </c>
      <c r="E14" t="e">
        <f t="shared" si="1236"/>
        <v>#NAME?</v>
      </c>
      <c r="F14" t="e">
        <f t="shared" si="1247"/>
        <v>#NAME?</v>
      </c>
      <c r="I14" t="s">
        <v>502</v>
      </c>
      <c r="J14" s="10" t="e">
        <f>STDEV(F6:F108)</f>
        <v>#NAME?</v>
      </c>
      <c r="P14" t="e">
        <v>#NAME?</v>
      </c>
      <c r="Q14" s="8" t="e">
        <v>#NAME?</v>
      </c>
      <c r="R14" t="e">
        <v>#NAME?</v>
      </c>
      <c r="S14" t="e">
        <v>#NAME?</v>
      </c>
      <c r="T14" s="9" t="e">
        <v>#NAME?</v>
      </c>
      <c r="V14">
        <f t="shared" si="1237"/>
        <v>11</v>
      </c>
      <c r="W14" t="e">
        <f t="shared" si="1238"/>
        <v>#NAME?</v>
      </c>
      <c r="X14" t="e">
        <f t="shared" si="1239"/>
        <v>#NAME?</v>
      </c>
      <c r="Y14" t="e">
        <f t="shared" si="1240"/>
        <v>#NAME?</v>
      </c>
      <c r="Z14" t="e">
        <f t="shared" si="1228"/>
        <v>#NAME?</v>
      </c>
      <c r="AA14" t="e">
        <f t="shared" si="1241"/>
        <v>#NAME?</v>
      </c>
      <c r="AB14" t="e">
        <f t="shared" si="1242"/>
        <v>#NAME?</v>
      </c>
      <c r="AD14">
        <f t="shared" si="1246"/>
        <v>11</v>
      </c>
      <c r="AE14">
        <f t="shared" si="1243"/>
        <v>10.122578080183001</v>
      </c>
    </row>
    <row r="15">
      <c r="A15">
        <f t="shared" si="1244"/>
        <v>12</v>
      </c>
      <c r="B15">
        <v>10.173602244452049</v>
      </c>
      <c r="D15">
        <f t="shared" si="1245"/>
        <v>12</v>
      </c>
      <c r="E15" t="e">
        <f t="shared" si="1236"/>
        <v>#NAME?</v>
      </c>
      <c r="F15" t="e">
        <f t="shared" si="1247"/>
        <v>#NAME?</v>
      </c>
      <c r="I15" t="s">
        <v>503</v>
      </c>
      <c r="J15" s="10" t="e">
        <f>SQRT(J8/J18)</f>
        <v>#NAME?</v>
      </c>
      <c r="L15" s="24" t="s">
        <v>481</v>
      </c>
      <c r="M15" s="24" t="s">
        <v>501</v>
      </c>
      <c r="P15" t="e">
        <v>#NAME?</v>
      </c>
      <c r="Q15" s="11" t="e">
        <v>#NAME?</v>
      </c>
      <c r="R15" s="14" t="e">
        <v>#NAME?</v>
      </c>
      <c r="S15" s="14" t="e">
        <v>#NAME?</v>
      </c>
      <c r="T15" s="12" t="e">
        <v>#NAME?</v>
      </c>
      <c r="V15">
        <f t="shared" si="1237"/>
        <v>12</v>
      </c>
      <c r="W15" t="e">
        <f t="shared" si="1238"/>
        <v>#NAME?</v>
      </c>
      <c r="X15" t="e">
        <f t="shared" si="1239"/>
        <v>#NAME?</v>
      </c>
      <c r="Y15" t="e">
        <f t="shared" si="1240"/>
        <v>#NAME?</v>
      </c>
      <c r="Z15" t="e">
        <f t="shared" si="1228"/>
        <v>#NAME?</v>
      </c>
      <c r="AA15" t="e">
        <f t="shared" si="1241"/>
        <v>#NAME?</v>
      </c>
      <c r="AB15" t="e">
        <f t="shared" si="1242"/>
        <v>#NAME?</v>
      </c>
      <c r="AD15">
        <f t="shared" si="1246"/>
        <v>12</v>
      </c>
      <c r="AE15">
        <f t="shared" si="1243"/>
        <v>10.1736022444521</v>
      </c>
    </row>
    <row r="16">
      <c r="A16">
        <f t="shared" si="1244"/>
        <v>13</v>
      </c>
      <c r="B16">
        <v>10.821309800892813</v>
      </c>
      <c r="D16">
        <f t="shared" si="1245"/>
        <v>13</v>
      </c>
      <c r="E16" t="e">
        <f t="shared" si="1236"/>
        <v>#NAME?</v>
      </c>
      <c r="F16" t="e">
        <f t="shared" si="1247"/>
        <v>#NAME?</v>
      </c>
      <c r="I16" t="s">
        <v>504</v>
      </c>
      <c r="J16" s="10" t="e">
        <f>AVERAGE(E6:E108)</f>
        <v>#NAME?</v>
      </c>
      <c r="L16" s="42">
        <v>0</v>
      </c>
      <c r="M16" s="42" t="e">
        <v>#NAME?</v>
      </c>
      <c r="V16">
        <f t="shared" si="1237"/>
        <v>13</v>
      </c>
      <c r="W16" t="e">
        <f t="shared" si="1238"/>
        <v>#NAME?</v>
      </c>
      <c r="X16" t="e">
        <f t="shared" si="1239"/>
        <v>#NAME?</v>
      </c>
      <c r="Y16" t="e">
        <f t="shared" si="1240"/>
        <v>#NAME?</v>
      </c>
      <c r="Z16" t="e">
        <f t="shared" si="1228"/>
        <v>#NAME?</v>
      </c>
      <c r="AA16" t="e">
        <f t="shared" si="1241"/>
        <v>#NAME?</v>
      </c>
      <c r="AB16" t="e">
        <f t="shared" si="1242"/>
        <v>#NAME?</v>
      </c>
      <c r="AD16">
        <f t="shared" si="1246"/>
        <v>13</v>
      </c>
      <c r="AE16">
        <f t="shared" si="1243"/>
        <v>10.8213098008928</v>
      </c>
    </row>
    <row r="17">
      <c r="A17">
        <f t="shared" si="1244"/>
        <v>14</v>
      </c>
      <c r="B17">
        <v>10.084063249573955</v>
      </c>
      <c r="D17">
        <f t="shared" si="1245"/>
        <v>14</v>
      </c>
      <c r="E17" t="e">
        <f t="shared" si="1236"/>
        <v>#NAME?</v>
      </c>
      <c r="F17" t="e">
        <f t="shared" si="1247"/>
        <v>#NAME?</v>
      </c>
      <c r="I17" t="s">
        <v>505</v>
      </c>
      <c r="J17" s="10" t="e">
        <f>STDEV(E6:E108)</f>
        <v>#NAME?</v>
      </c>
      <c r="L17">
        <f t="shared" ref="L17:L20" si="1248">L16+1</f>
        <v>1</v>
      </c>
      <c r="M17" t="e">
        <v>#NAME?</v>
      </c>
      <c r="P17" t="e">
        <v>#NAME?</v>
      </c>
      <c r="Q17" s="7" t="e">
        <v>#NAME?</v>
      </c>
      <c r="V17">
        <f t="shared" si="1237"/>
        <v>14</v>
      </c>
      <c r="W17" t="e">
        <f t="shared" si="1238"/>
        <v>#NAME?</v>
      </c>
      <c r="X17" t="e">
        <f t="shared" si="1239"/>
        <v>#NAME?</v>
      </c>
      <c r="Y17" t="e">
        <f t="shared" si="1240"/>
        <v>#NAME?</v>
      </c>
      <c r="Z17" t="e">
        <f t="shared" si="1228"/>
        <v>#NAME?</v>
      </c>
      <c r="AA17" t="e">
        <f t="shared" si="1241"/>
        <v>#NAME?</v>
      </c>
      <c r="AB17" t="e">
        <f t="shared" si="1242"/>
        <v>#NAME?</v>
      </c>
      <c r="AD17">
        <f t="shared" si="1246"/>
        <v>14</v>
      </c>
      <c r="AE17">
        <f t="shared" si="1243"/>
        <v>10.084063249573999</v>
      </c>
    </row>
    <row r="18">
      <c r="A18">
        <f t="shared" si="1244"/>
        <v>15</v>
      </c>
      <c r="B18">
        <v>10.346054055555475</v>
      </c>
      <c r="D18">
        <f t="shared" si="1245"/>
        <v>15</v>
      </c>
      <c r="E18" t="e">
        <f t="shared" si="1236"/>
        <v>#NAME?</v>
      </c>
      <c r="F18" t="e">
        <f t="shared" si="1247"/>
        <v>#NAME?</v>
      </c>
      <c r="I18" t="s">
        <v>506</v>
      </c>
      <c r="J18" s="13">
        <f>COUNT(E6:E108)</f>
        <v>0</v>
      </c>
      <c r="L18">
        <f t="shared" si="1248"/>
        <v>2</v>
      </c>
      <c r="M18" t="e">
        <v>#NAME?</v>
      </c>
      <c r="P18" t="e">
        <v>#NAME?</v>
      </c>
      <c r="Q18" s="10" t="e">
        <v>#NAME?</v>
      </c>
      <c r="V18">
        <f t="shared" si="1237"/>
        <v>15</v>
      </c>
      <c r="W18" t="e">
        <f t="shared" si="1238"/>
        <v>#NAME?</v>
      </c>
      <c r="X18" t="e">
        <f t="shared" si="1239"/>
        <v>#NAME?</v>
      </c>
      <c r="Y18" t="e">
        <f t="shared" si="1240"/>
        <v>#NAME?</v>
      </c>
      <c r="Z18" t="e">
        <f t="shared" si="1228"/>
        <v>#NAME?</v>
      </c>
      <c r="AA18" t="e">
        <f t="shared" si="1241"/>
        <v>#NAME?</v>
      </c>
      <c r="AB18" t="e">
        <f t="shared" si="1242"/>
        <v>#NAME?</v>
      </c>
      <c r="AD18">
        <f t="shared" si="1246"/>
        <v>15</v>
      </c>
      <c r="AE18">
        <f t="shared" si="1243"/>
        <v>10.3460540555555</v>
      </c>
    </row>
    <row r="19">
      <c r="A19">
        <f t="shared" si="1244"/>
        <v>16</v>
      </c>
      <c r="B19">
        <v>9.6922029393025948</v>
      </c>
      <c r="D19">
        <f t="shared" si="1245"/>
        <v>16</v>
      </c>
      <c r="E19" t="e">
        <f t="shared" si="1236"/>
        <v>#NAME?</v>
      </c>
      <c r="F19" t="e">
        <f t="shared" si="1247"/>
        <v>#NAME?</v>
      </c>
      <c r="L19">
        <f t="shared" si="1248"/>
        <v>3</v>
      </c>
      <c r="M19" t="e">
        <v>#NAME?</v>
      </c>
      <c r="P19" t="e">
        <v>#NAME?</v>
      </c>
      <c r="Q19" s="10" t="e">
        <v>#NAME?</v>
      </c>
      <c r="V19">
        <f t="shared" si="1237"/>
        <v>16</v>
      </c>
      <c r="W19" t="e">
        <f t="shared" si="1238"/>
        <v>#NAME?</v>
      </c>
      <c r="X19" t="e">
        <f t="shared" si="1239"/>
        <v>#NAME?</v>
      </c>
      <c r="Y19" t="e">
        <f t="shared" si="1240"/>
        <v>#NAME?</v>
      </c>
      <c r="Z19" t="e">
        <f t="shared" si="1228"/>
        <v>#NAME?</v>
      </c>
      <c r="AA19" t="e">
        <f t="shared" si="1241"/>
        <v>#NAME?</v>
      </c>
      <c r="AB19" t="e">
        <f t="shared" si="1242"/>
        <v>#NAME?</v>
      </c>
      <c r="AD19">
        <f t="shared" si="1246"/>
        <v>16</v>
      </c>
      <c r="AE19">
        <f t="shared" si="1243"/>
        <v>9.6922029393026001</v>
      </c>
    </row>
    <row r="20">
      <c r="A20">
        <f t="shared" si="1244"/>
        <v>17</v>
      </c>
      <c r="B20">
        <v>11.205574770625869</v>
      </c>
      <c r="D20">
        <f t="shared" si="1245"/>
        <v>17</v>
      </c>
      <c r="E20" t="e">
        <f t="shared" si="1236"/>
        <v>#NAME?</v>
      </c>
      <c r="F20" t="e">
        <f t="shared" si="1247"/>
        <v>#NAME?</v>
      </c>
      <c r="I20" t="s">
        <v>507</v>
      </c>
      <c r="J20" s="7" t="e">
        <f>-(J23-2*(J10+J11+2))/2</f>
        <v>#NAME?</v>
      </c>
      <c r="L20" s="14">
        <f t="shared" si="1248"/>
        <v>4</v>
      </c>
      <c r="M20" s="14" t="e">
        <v>#NAME?</v>
      </c>
      <c r="P20" t="e">
        <v>#NAME?</v>
      </c>
      <c r="Q20" s="10" t="e">
        <v>#NAME?</v>
      </c>
      <c r="V20">
        <f t="shared" si="1237"/>
        <v>17</v>
      </c>
      <c r="W20" t="e">
        <f t="shared" si="1238"/>
        <v>#NAME?</v>
      </c>
      <c r="X20" t="e">
        <f t="shared" si="1239"/>
        <v>#NAME?</v>
      </c>
      <c r="Y20" t="e">
        <f t="shared" si="1240"/>
        <v>#NAME?</v>
      </c>
      <c r="Z20" t="e">
        <f t="shared" si="1228"/>
        <v>#NAME?</v>
      </c>
      <c r="AA20" t="e">
        <f t="shared" si="1241"/>
        <v>#NAME?</v>
      </c>
      <c r="AB20" t="e">
        <f t="shared" si="1242"/>
        <v>#NAME?</v>
      </c>
      <c r="AD20">
        <f t="shared" si="1246"/>
        <v>17</v>
      </c>
      <c r="AE20">
        <f t="shared" si="1243"/>
        <v>11.205574770625899</v>
      </c>
    </row>
    <row r="21">
      <c r="A21">
        <f t="shared" si="1244"/>
        <v>18</v>
      </c>
      <c r="B21">
        <v>12.652116416514845</v>
      </c>
      <c r="D21">
        <f t="shared" si="1245"/>
        <v>18</v>
      </c>
      <c r="E21" t="e">
        <f t="shared" si="1236"/>
        <v>#NAME?</v>
      </c>
      <c r="F21" t="e">
        <f t="shared" si="1247"/>
        <v>#NAME?</v>
      </c>
      <c r="I21" t="s">
        <v>374</v>
      </c>
      <c r="J21" s="10" t="e">
        <f>J18*LN(J8/J18)+2*(J10+J11+2)</f>
        <v>#NAME?</v>
      </c>
      <c r="P21" t="e">
        <v>#NAME?</v>
      </c>
      <c r="Q21" s="10" t="e">
        <v>#NAME?</v>
      </c>
      <c r="V21">
        <f t="shared" si="1237"/>
        <v>18</v>
      </c>
      <c r="W21" t="e">
        <f t="shared" si="1238"/>
        <v>#NAME?</v>
      </c>
      <c r="X21" t="e">
        <f t="shared" si="1239"/>
        <v>#NAME?</v>
      </c>
      <c r="Y21" t="e">
        <f t="shared" si="1240"/>
        <v>#NAME?</v>
      </c>
      <c r="Z21" t="e">
        <f t="shared" si="1228"/>
        <v>#NAME?</v>
      </c>
      <c r="AA21" t="e">
        <f t="shared" si="1241"/>
        <v>#NAME?</v>
      </c>
      <c r="AB21" t="e">
        <f t="shared" si="1242"/>
        <v>#NAME?</v>
      </c>
      <c r="AD21">
        <f t="shared" si="1246"/>
        <v>18</v>
      </c>
      <c r="AE21">
        <f t="shared" si="1243"/>
        <v>12.652116416514801</v>
      </c>
    </row>
    <row r="22">
      <c r="A22">
        <f t="shared" si="1244"/>
        <v>19</v>
      </c>
      <c r="B22">
        <v>13.406329168635398</v>
      </c>
      <c r="D22">
        <f t="shared" si="1245"/>
        <v>19</v>
      </c>
      <c r="E22" t="e">
        <f t="shared" si="1236"/>
        <v>#NAME?</v>
      </c>
      <c r="F22" t="e">
        <f t="shared" si="1247"/>
        <v>#NAME?</v>
      </c>
      <c r="I22" t="s">
        <v>508</v>
      </c>
      <c r="J22" s="10" t="e">
        <f>J18*LN(J8/J18)+LN(J18)*(J10+J11+2)</f>
        <v>#NAME?</v>
      </c>
      <c r="P22" t="e">
        <v>#NAME?</v>
      </c>
      <c r="Q22" s="10" t="e">
        <v>#NAME?</v>
      </c>
      <c r="V22">
        <f t="shared" si="1237"/>
        <v>19</v>
      </c>
      <c r="W22" t="e">
        <f t="shared" si="1238"/>
        <v>#NAME?</v>
      </c>
      <c r="X22" t="e">
        <f t="shared" si="1239"/>
        <v>#NAME?</v>
      </c>
      <c r="Y22" t="e">
        <f t="shared" si="1240"/>
        <v>#NAME?</v>
      </c>
      <c r="Z22" t="e">
        <f t="shared" si="1228"/>
        <v>#NAME?</v>
      </c>
      <c r="AA22" t="e">
        <f t="shared" si="1241"/>
        <v>#NAME?</v>
      </c>
      <c r="AB22" t="e">
        <f t="shared" si="1242"/>
        <v>#NAME?</v>
      </c>
      <c r="AD22">
        <f t="shared" si="1246"/>
        <v>19</v>
      </c>
      <c r="AE22">
        <f t="shared" si="1243"/>
        <v>13.4063291686354</v>
      </c>
    </row>
    <row r="23">
      <c r="A23">
        <f t="shared" si="1244"/>
        <v>20</v>
      </c>
      <c r="B23">
        <v>12.231217930183975</v>
      </c>
      <c r="D23">
        <f t="shared" si="1245"/>
        <v>20</v>
      </c>
      <c r="E23" t="e">
        <f t="shared" si="1236"/>
        <v>#NAME?</v>
      </c>
      <c r="F23" t="e">
        <f t="shared" si="1247"/>
        <v>#NAME?</v>
      </c>
      <c r="I23" t="s">
        <v>509</v>
      </c>
      <c r="J23" s="10" t="e">
        <f>J18*(1+LN(2*PI()))+J21</f>
        <v>#NAME?</v>
      </c>
      <c r="P23" t="e">
        <v>#NAME?</v>
      </c>
      <c r="Q23" s="13" t="e">
        <v>#NAME?</v>
      </c>
      <c r="V23">
        <f t="shared" si="1237"/>
        <v>20</v>
      </c>
      <c r="W23" t="e">
        <f t="shared" si="1238"/>
        <v>#NAME?</v>
      </c>
      <c r="X23" t="e">
        <f t="shared" si="1239"/>
        <v>#NAME?</v>
      </c>
      <c r="Y23" t="e">
        <f t="shared" si="1240"/>
        <v>#NAME?</v>
      </c>
      <c r="Z23" t="e">
        <f t="shared" si="1228"/>
        <v>#NAME?</v>
      </c>
      <c r="AA23" t="e">
        <f t="shared" si="1241"/>
        <v>#NAME?</v>
      </c>
      <c r="AB23" t="e">
        <f t="shared" si="1242"/>
        <v>#NAME?</v>
      </c>
      <c r="AD23">
        <f t="shared" si="1246"/>
        <v>20</v>
      </c>
      <c r="AE23">
        <f t="shared" si="1243"/>
        <v>12.231217930184</v>
      </c>
    </row>
    <row r="24">
      <c r="A24">
        <f t="shared" si="1244"/>
        <v>21</v>
      </c>
      <c r="B24">
        <v>12.116974455959236</v>
      </c>
      <c r="D24">
        <f t="shared" si="1245"/>
        <v>21</v>
      </c>
      <c r="E24" t="e">
        <f t="shared" si="1236"/>
        <v>#NAME?</v>
      </c>
      <c r="F24" t="e">
        <f t="shared" si="1247"/>
        <v>#NAME?</v>
      </c>
      <c r="I24" t="s">
        <v>510</v>
      </c>
      <c r="J24" s="13" t="e">
        <f>J18*(1+LN(2*PI()))+J22</f>
        <v>#NAME?</v>
      </c>
      <c r="V24">
        <f t="shared" si="1237"/>
        <v>21</v>
      </c>
      <c r="W24" t="e">
        <f t="shared" si="1238"/>
        <v>#NAME?</v>
      </c>
      <c r="X24" t="e">
        <f t="shared" si="1239"/>
        <v>#NAME?</v>
      </c>
      <c r="Y24" t="e">
        <f t="shared" si="1240"/>
        <v>#NAME?</v>
      </c>
      <c r="Z24" t="e">
        <f t="shared" si="1228"/>
        <v>#NAME?</v>
      </c>
      <c r="AA24" t="e">
        <f t="shared" si="1241"/>
        <v>#NAME?</v>
      </c>
      <c r="AB24" t="e">
        <f t="shared" si="1242"/>
        <v>#NAME?</v>
      </c>
      <c r="AD24">
        <f t="shared" si="1246"/>
        <v>21</v>
      </c>
      <c r="AE24">
        <f t="shared" si="1243"/>
        <v>12.1169744559592</v>
      </c>
    </row>
    <row r="25">
      <c r="A25">
        <f t="shared" si="1244"/>
        <v>22</v>
      </c>
      <c r="B25">
        <v>10.45988889436091</v>
      </c>
      <c r="D25">
        <f t="shared" si="1245"/>
        <v>22</v>
      </c>
      <c r="E25" t="e">
        <f t="shared" si="1236"/>
        <v>#NAME?</v>
      </c>
      <c r="F25" t="e">
        <f t="shared" si="1247"/>
        <v>#NAME?</v>
      </c>
      <c r="V25">
        <f t="shared" si="1237"/>
        <v>22</v>
      </c>
      <c r="W25" t="e">
        <f t="shared" si="1238"/>
        <v>#NAME?</v>
      </c>
      <c r="X25" t="e">
        <f t="shared" si="1239"/>
        <v>#NAME?</v>
      </c>
      <c r="Y25" t="e">
        <f t="shared" si="1240"/>
        <v>#NAME?</v>
      </c>
      <c r="Z25" t="e">
        <f t="shared" si="1228"/>
        <v>#NAME?</v>
      </c>
      <c r="AA25" t="e">
        <f t="shared" si="1241"/>
        <v>#NAME?</v>
      </c>
      <c r="AB25" t="e">
        <f t="shared" si="1242"/>
        <v>#NAME?</v>
      </c>
      <c r="AD25">
        <f t="shared" si="1246"/>
        <v>22</v>
      </c>
      <c r="AE25">
        <f t="shared" si="1243"/>
        <v>10.459888894360899</v>
      </c>
    </row>
    <row r="26">
      <c r="A26">
        <f t="shared" si="1244"/>
        <v>23</v>
      </c>
      <c r="B26">
        <v>9.4464576710812267</v>
      </c>
      <c r="D26">
        <f t="shared" si="1245"/>
        <v>23</v>
      </c>
      <c r="E26" t="e">
        <f t="shared" si="1236"/>
        <v>#NAME?</v>
      </c>
      <c r="F26" t="e">
        <f t="shared" si="1247"/>
        <v>#NAME?</v>
      </c>
      <c r="V26">
        <f t="shared" si="1237"/>
        <v>23</v>
      </c>
      <c r="W26" t="e">
        <f t="shared" si="1238"/>
        <v>#NAME?</v>
      </c>
      <c r="X26" t="e">
        <f t="shared" si="1239"/>
        <v>#NAME?</v>
      </c>
      <c r="Y26" t="e">
        <f t="shared" si="1240"/>
        <v>#NAME?</v>
      </c>
      <c r="Z26" t="e">
        <f t="shared" si="1228"/>
        <v>#NAME?</v>
      </c>
      <c r="AA26" t="e">
        <f t="shared" si="1241"/>
        <v>#NAME?</v>
      </c>
      <c r="AB26" t="e">
        <f t="shared" si="1242"/>
        <v>#NAME?</v>
      </c>
      <c r="AD26">
        <f t="shared" si="1246"/>
        <v>23</v>
      </c>
      <c r="AE26">
        <f t="shared" si="1243"/>
        <v>9.4464576710812302</v>
      </c>
    </row>
    <row r="27">
      <c r="A27">
        <f t="shared" si="1244"/>
        <v>24</v>
      </c>
      <c r="B27">
        <v>11.181030434794319</v>
      </c>
      <c r="D27">
        <f t="shared" si="1245"/>
        <v>24</v>
      </c>
      <c r="E27" t="e">
        <f t="shared" si="1236"/>
        <v>#NAME?</v>
      </c>
      <c r="F27" t="e">
        <f t="shared" si="1247"/>
        <v>#NAME?</v>
      </c>
      <c r="V27">
        <f t="shared" si="1237"/>
        <v>24</v>
      </c>
      <c r="W27" t="e">
        <f t="shared" si="1238"/>
        <v>#NAME?</v>
      </c>
      <c r="X27" t="e">
        <f t="shared" si="1239"/>
        <v>#NAME?</v>
      </c>
      <c r="Y27" t="e">
        <f t="shared" si="1240"/>
        <v>#NAME?</v>
      </c>
      <c r="Z27" t="e">
        <f t="shared" si="1228"/>
        <v>#NAME?</v>
      </c>
      <c r="AA27" t="e">
        <f t="shared" si="1241"/>
        <v>#NAME?</v>
      </c>
      <c r="AB27" t="e">
        <f t="shared" si="1242"/>
        <v>#NAME?</v>
      </c>
      <c r="AD27">
        <f t="shared" si="1246"/>
        <v>24</v>
      </c>
      <c r="AE27">
        <f t="shared" si="1243"/>
        <v>11.1810304347943</v>
      </c>
    </row>
    <row r="28">
      <c r="A28">
        <f t="shared" si="1244"/>
        <v>25</v>
      </c>
      <c r="B28">
        <v>7.5853602163456753</v>
      </c>
      <c r="D28">
        <f t="shared" si="1245"/>
        <v>25</v>
      </c>
      <c r="E28" t="e">
        <f t="shared" si="1236"/>
        <v>#NAME?</v>
      </c>
      <c r="F28" t="e">
        <f t="shared" si="1247"/>
        <v>#NAME?</v>
      </c>
      <c r="V28">
        <f t="shared" si="1237"/>
        <v>25</v>
      </c>
      <c r="W28" t="e">
        <f t="shared" si="1238"/>
        <v>#NAME?</v>
      </c>
      <c r="X28" t="e">
        <f t="shared" si="1239"/>
        <v>#NAME?</v>
      </c>
      <c r="Y28" t="e">
        <f t="shared" si="1240"/>
        <v>#NAME?</v>
      </c>
      <c r="Z28" t="e">
        <f t="shared" si="1228"/>
        <v>#NAME?</v>
      </c>
      <c r="AA28" t="e">
        <f t="shared" si="1241"/>
        <v>#NAME?</v>
      </c>
      <c r="AB28" t="e">
        <f t="shared" si="1242"/>
        <v>#NAME?</v>
      </c>
      <c r="AD28">
        <f t="shared" si="1246"/>
        <v>25</v>
      </c>
      <c r="AE28">
        <f t="shared" si="1243"/>
        <v>7.5853602163456797</v>
      </c>
    </row>
    <row r="29">
      <c r="A29">
        <f t="shared" si="1244"/>
        <v>26</v>
      </c>
      <c r="B29">
        <v>10.978531861411668</v>
      </c>
      <c r="D29">
        <f t="shared" si="1245"/>
        <v>26</v>
      </c>
      <c r="E29" t="e">
        <f t="shared" si="1236"/>
        <v>#NAME?</v>
      </c>
      <c r="F29" t="e">
        <f t="shared" si="1247"/>
        <v>#NAME?</v>
      </c>
      <c r="V29">
        <f t="shared" si="1237"/>
        <v>26</v>
      </c>
      <c r="W29" t="e">
        <f t="shared" si="1238"/>
        <v>#NAME?</v>
      </c>
      <c r="X29" t="e">
        <f t="shared" si="1239"/>
        <v>#NAME?</v>
      </c>
      <c r="Y29" t="e">
        <f t="shared" si="1240"/>
        <v>#NAME?</v>
      </c>
      <c r="Z29" t="e">
        <f t="shared" si="1228"/>
        <v>#NAME?</v>
      </c>
      <c r="AA29" t="e">
        <f t="shared" si="1241"/>
        <v>#NAME?</v>
      </c>
      <c r="AB29" t="e">
        <f t="shared" si="1242"/>
        <v>#NAME?</v>
      </c>
      <c r="AD29">
        <f t="shared" si="1246"/>
        <v>26</v>
      </c>
      <c r="AE29">
        <f t="shared" si="1243"/>
        <v>10.9785318614117</v>
      </c>
    </row>
    <row r="30">
      <c r="A30">
        <f t="shared" si="1244"/>
        <v>27</v>
      </c>
      <c r="B30">
        <v>10.550225208625736</v>
      </c>
      <c r="D30">
        <f t="shared" si="1245"/>
        <v>27</v>
      </c>
      <c r="E30" t="e">
        <f t="shared" si="1236"/>
        <v>#NAME?</v>
      </c>
      <c r="F30" t="e">
        <f t="shared" si="1247"/>
        <v>#NAME?</v>
      </c>
      <c r="V30">
        <f t="shared" si="1237"/>
        <v>27</v>
      </c>
      <c r="W30" t="e">
        <f t="shared" si="1238"/>
        <v>#NAME?</v>
      </c>
      <c r="X30" t="e">
        <f t="shared" si="1239"/>
        <v>#NAME?</v>
      </c>
      <c r="Y30" t="e">
        <f t="shared" si="1240"/>
        <v>#NAME?</v>
      </c>
      <c r="Z30" t="e">
        <f t="shared" si="1228"/>
        <v>#NAME?</v>
      </c>
      <c r="AA30" t="e">
        <f t="shared" si="1241"/>
        <v>#NAME?</v>
      </c>
      <c r="AB30" t="e">
        <f t="shared" si="1242"/>
        <v>#NAME?</v>
      </c>
      <c r="AD30">
        <f t="shared" si="1246"/>
        <v>27</v>
      </c>
      <c r="AE30">
        <f t="shared" si="1243"/>
        <v>10.550225208625699</v>
      </c>
    </row>
    <row r="31">
      <c r="A31">
        <f t="shared" si="1244"/>
        <v>28</v>
      </c>
      <c r="B31">
        <v>11.227461431044995</v>
      </c>
      <c r="D31">
        <f t="shared" si="1245"/>
        <v>28</v>
      </c>
      <c r="E31" t="e">
        <f t="shared" si="1236"/>
        <v>#NAME?</v>
      </c>
      <c r="F31" t="e">
        <f t="shared" si="1247"/>
        <v>#NAME?</v>
      </c>
      <c r="V31">
        <f t="shared" si="1237"/>
        <v>28</v>
      </c>
      <c r="W31" t="e">
        <f t="shared" si="1238"/>
        <v>#NAME?</v>
      </c>
      <c r="X31" t="e">
        <f t="shared" si="1239"/>
        <v>#NAME?</v>
      </c>
      <c r="Y31" t="e">
        <f t="shared" si="1240"/>
        <v>#NAME?</v>
      </c>
      <c r="Z31" t="e">
        <f t="shared" si="1228"/>
        <v>#NAME?</v>
      </c>
      <c r="AA31" t="e">
        <f t="shared" si="1241"/>
        <v>#NAME?</v>
      </c>
      <c r="AB31" t="e">
        <f t="shared" si="1242"/>
        <v>#NAME?</v>
      </c>
      <c r="AD31">
        <f t="shared" si="1246"/>
        <v>28</v>
      </c>
      <c r="AE31">
        <f t="shared" si="1243"/>
        <v>11.227461431045</v>
      </c>
    </row>
    <row r="32">
      <c r="A32">
        <f t="shared" si="1244"/>
        <v>29</v>
      </c>
      <c r="B32">
        <v>9.0761713255316874</v>
      </c>
      <c r="D32">
        <f t="shared" si="1245"/>
        <v>29</v>
      </c>
      <c r="E32" t="e">
        <f t="shared" si="1236"/>
        <v>#NAME?</v>
      </c>
      <c r="F32" t="e">
        <f t="shared" si="1247"/>
        <v>#NAME?</v>
      </c>
      <c r="V32">
        <f t="shared" si="1237"/>
        <v>29</v>
      </c>
      <c r="W32" t="e">
        <f t="shared" si="1238"/>
        <v>#NAME?</v>
      </c>
      <c r="X32" t="e">
        <f t="shared" si="1239"/>
        <v>#NAME?</v>
      </c>
      <c r="Y32" t="e">
        <f t="shared" si="1240"/>
        <v>#NAME?</v>
      </c>
      <c r="Z32" t="e">
        <f t="shared" si="1228"/>
        <v>#NAME?</v>
      </c>
      <c r="AA32" t="e">
        <f t="shared" si="1241"/>
        <v>#NAME?</v>
      </c>
      <c r="AB32" t="e">
        <f t="shared" si="1242"/>
        <v>#NAME?</v>
      </c>
      <c r="AD32">
        <f t="shared" si="1246"/>
        <v>29</v>
      </c>
      <c r="AE32">
        <f t="shared" si="1243"/>
        <v>9.0761713255316891</v>
      </c>
    </row>
    <row r="33">
      <c r="A33">
        <f t="shared" si="1244"/>
        <v>30</v>
      </c>
      <c r="B33">
        <v>9.9094956509085357</v>
      </c>
      <c r="D33">
        <f t="shared" si="1245"/>
        <v>30</v>
      </c>
      <c r="E33" t="e">
        <f t="shared" si="1236"/>
        <v>#NAME?</v>
      </c>
      <c r="F33" t="e">
        <f t="shared" si="1247"/>
        <v>#NAME?</v>
      </c>
      <c r="V33">
        <f t="shared" si="1237"/>
        <v>30</v>
      </c>
      <c r="W33" t="e">
        <f t="shared" si="1238"/>
        <v>#NAME?</v>
      </c>
      <c r="X33" t="e">
        <f t="shared" si="1239"/>
        <v>#NAME?</v>
      </c>
      <c r="Y33" t="e">
        <f t="shared" si="1240"/>
        <v>#NAME?</v>
      </c>
      <c r="Z33" t="e">
        <f t="shared" si="1228"/>
        <v>#NAME?</v>
      </c>
      <c r="AA33" t="e">
        <f t="shared" si="1241"/>
        <v>#NAME?</v>
      </c>
      <c r="AB33" t="e">
        <f t="shared" si="1242"/>
        <v>#NAME?</v>
      </c>
      <c r="AD33">
        <f t="shared" si="1246"/>
        <v>30</v>
      </c>
      <c r="AE33">
        <f t="shared" si="1243"/>
        <v>9.9094956509085392</v>
      </c>
    </row>
    <row r="34">
      <c r="A34">
        <f t="shared" si="1244"/>
        <v>31</v>
      </c>
      <c r="B34">
        <v>11.683635570981137</v>
      </c>
      <c r="D34">
        <f t="shared" si="1245"/>
        <v>31</v>
      </c>
      <c r="E34" t="e">
        <f t="shared" si="1236"/>
        <v>#NAME?</v>
      </c>
      <c r="F34" t="e">
        <f t="shared" si="1247"/>
        <v>#NAME?</v>
      </c>
      <c r="V34">
        <f t="shared" si="1237"/>
        <v>31</v>
      </c>
      <c r="W34" t="e">
        <f t="shared" si="1238"/>
        <v>#NAME?</v>
      </c>
      <c r="X34" t="e">
        <f t="shared" si="1239"/>
        <v>#NAME?</v>
      </c>
      <c r="Y34" t="e">
        <f t="shared" si="1240"/>
        <v>#NAME?</v>
      </c>
      <c r="Z34" t="e">
        <f t="shared" si="1228"/>
        <v>#NAME?</v>
      </c>
      <c r="AA34" t="e">
        <f t="shared" si="1241"/>
        <v>#NAME?</v>
      </c>
      <c r="AB34" t="e">
        <f t="shared" si="1242"/>
        <v>#NAME?</v>
      </c>
      <c r="AD34">
        <f t="shared" si="1246"/>
        <v>31</v>
      </c>
      <c r="AE34">
        <f t="shared" si="1243"/>
        <v>11.6836355709811</v>
      </c>
    </row>
    <row r="35">
      <c r="A35">
        <f t="shared" si="1244"/>
        <v>32</v>
      </c>
      <c r="B35">
        <v>9.3891181090456559</v>
      </c>
      <c r="D35">
        <f t="shared" si="1245"/>
        <v>32</v>
      </c>
      <c r="E35" t="e">
        <f t="shared" si="1236"/>
        <v>#NAME?</v>
      </c>
      <c r="F35" t="e">
        <f t="shared" si="1247"/>
        <v>#NAME?</v>
      </c>
      <c r="V35">
        <f t="shared" si="1237"/>
        <v>32</v>
      </c>
      <c r="W35" t="e">
        <f t="shared" si="1238"/>
        <v>#NAME?</v>
      </c>
      <c r="X35" t="e">
        <f t="shared" si="1239"/>
        <v>#NAME?</v>
      </c>
      <c r="Y35" t="e">
        <f t="shared" si="1240"/>
        <v>#NAME?</v>
      </c>
      <c r="Z35" t="e">
        <f t="shared" si="1228"/>
        <v>#NAME?</v>
      </c>
      <c r="AA35" t="e">
        <f t="shared" si="1241"/>
        <v>#NAME?</v>
      </c>
      <c r="AB35" t="e">
        <f t="shared" si="1242"/>
        <v>#NAME?</v>
      </c>
      <c r="AD35">
        <f t="shared" si="1246"/>
        <v>32</v>
      </c>
      <c r="AE35">
        <f t="shared" si="1243"/>
        <v>9.3891181090456595</v>
      </c>
    </row>
    <row r="36">
      <c r="A36">
        <f t="shared" si="1244"/>
        <v>33</v>
      </c>
      <c r="B36">
        <v>11.280967352963559</v>
      </c>
      <c r="D36">
        <f t="shared" si="1245"/>
        <v>33</v>
      </c>
      <c r="E36" t="e">
        <f t="shared" si="1236"/>
        <v>#NAME?</v>
      </c>
      <c r="F36" t="e">
        <f t="shared" si="1247"/>
        <v>#NAME?</v>
      </c>
      <c r="V36">
        <f t="shared" si="1237"/>
        <v>33</v>
      </c>
      <c r="W36" t="e">
        <f t="shared" si="1238"/>
        <v>#NAME?</v>
      </c>
      <c r="X36" t="e">
        <f t="shared" si="1239"/>
        <v>#NAME?</v>
      </c>
      <c r="Y36" t="e">
        <f t="shared" si="1240"/>
        <v>#NAME?</v>
      </c>
      <c r="Z36" t="e">
        <f t="shared" si="1228"/>
        <v>#NAME?</v>
      </c>
      <c r="AA36" t="e">
        <f t="shared" si="1241"/>
        <v>#NAME?</v>
      </c>
      <c r="AB36" t="e">
        <f t="shared" si="1242"/>
        <v>#NAME?</v>
      </c>
      <c r="AD36">
        <f t="shared" si="1246"/>
        <v>33</v>
      </c>
      <c r="AE36">
        <f t="shared" si="1243"/>
        <v>11.2809673529636</v>
      </c>
    </row>
    <row r="37">
      <c r="A37">
        <f t="shared" si="1244"/>
        <v>34</v>
      </c>
      <c r="B37">
        <v>9.0777000543373685</v>
      </c>
      <c r="D37">
        <f t="shared" si="1245"/>
        <v>34</v>
      </c>
      <c r="E37" t="e">
        <f t="shared" si="1236"/>
        <v>#NAME?</v>
      </c>
      <c r="F37" t="e">
        <f t="shared" si="1247"/>
        <v>#NAME?</v>
      </c>
      <c r="V37">
        <f t="shared" si="1237"/>
        <v>34</v>
      </c>
      <c r="W37" t="e">
        <f t="shared" si="1238"/>
        <v>#NAME?</v>
      </c>
      <c r="X37" t="e">
        <f t="shared" si="1239"/>
        <v>#NAME?</v>
      </c>
      <c r="Y37" t="e">
        <f t="shared" si="1240"/>
        <v>#NAME?</v>
      </c>
      <c r="Z37" t="e">
        <f t="shared" si="1228"/>
        <v>#NAME?</v>
      </c>
      <c r="AA37" t="e">
        <f t="shared" si="1241"/>
        <v>#NAME?</v>
      </c>
      <c r="AB37" t="e">
        <f t="shared" si="1242"/>
        <v>#NAME?</v>
      </c>
      <c r="AD37">
        <f t="shared" si="1246"/>
        <v>34</v>
      </c>
      <c r="AE37">
        <f t="shared" si="1243"/>
        <v>9.0777000543373703</v>
      </c>
    </row>
    <row r="38">
      <c r="A38">
        <f t="shared" si="1244"/>
        <v>35</v>
      </c>
      <c r="B38">
        <v>9.4218520797101899</v>
      </c>
      <c r="D38">
        <f t="shared" si="1245"/>
        <v>35</v>
      </c>
      <c r="E38" t="e">
        <f t="shared" si="1236"/>
        <v>#NAME?</v>
      </c>
      <c r="F38" t="e">
        <f t="shared" si="1247"/>
        <v>#NAME?</v>
      </c>
      <c r="V38">
        <f t="shared" si="1237"/>
        <v>35</v>
      </c>
      <c r="W38" t="e">
        <f t="shared" si="1238"/>
        <v>#NAME?</v>
      </c>
      <c r="X38" t="e">
        <f t="shared" si="1239"/>
        <v>#NAME?</v>
      </c>
      <c r="Y38" t="e">
        <f t="shared" si="1240"/>
        <v>#NAME?</v>
      </c>
      <c r="Z38" t="e">
        <f t="shared" si="1228"/>
        <v>#NAME?</v>
      </c>
      <c r="AA38" t="e">
        <f t="shared" si="1241"/>
        <v>#NAME?</v>
      </c>
      <c r="AB38" t="e">
        <f t="shared" si="1242"/>
        <v>#NAME?</v>
      </c>
      <c r="AD38">
        <f t="shared" si="1246"/>
        <v>35</v>
      </c>
      <c r="AE38">
        <f t="shared" si="1243"/>
        <v>9.4218520797101899</v>
      </c>
    </row>
    <row r="39">
      <c r="A39">
        <f t="shared" si="1244"/>
        <v>36</v>
      </c>
      <c r="B39">
        <v>10.768670766726222</v>
      </c>
      <c r="D39">
        <f t="shared" si="1245"/>
        <v>36</v>
      </c>
      <c r="E39" t="e">
        <f t="shared" si="1236"/>
        <v>#NAME?</v>
      </c>
      <c r="F39" t="e">
        <f t="shared" si="1247"/>
        <v>#NAME?</v>
      </c>
      <c r="V39">
        <f t="shared" si="1237"/>
        <v>36</v>
      </c>
      <c r="W39" t="e">
        <f t="shared" si="1238"/>
        <v>#NAME?</v>
      </c>
      <c r="X39" t="e">
        <f t="shared" si="1239"/>
        <v>#NAME?</v>
      </c>
      <c r="Y39" t="e">
        <f t="shared" si="1240"/>
        <v>#NAME?</v>
      </c>
      <c r="Z39" t="e">
        <f t="shared" si="1228"/>
        <v>#NAME?</v>
      </c>
      <c r="AA39" t="e">
        <f t="shared" si="1241"/>
        <v>#NAME?</v>
      </c>
      <c r="AB39" t="e">
        <f t="shared" si="1242"/>
        <v>#NAME?</v>
      </c>
      <c r="AD39">
        <f t="shared" si="1246"/>
        <v>36</v>
      </c>
      <c r="AE39">
        <f t="shared" si="1243"/>
        <v>10.768670766726199</v>
      </c>
    </row>
    <row r="40">
      <c r="A40">
        <f t="shared" si="1244"/>
        <v>37</v>
      </c>
      <c r="B40">
        <v>10.044686426220611</v>
      </c>
      <c r="D40">
        <f t="shared" si="1245"/>
        <v>37</v>
      </c>
      <c r="E40" t="e">
        <f t="shared" si="1236"/>
        <v>#NAME?</v>
      </c>
      <c r="F40" t="e">
        <f t="shared" si="1247"/>
        <v>#NAME?</v>
      </c>
      <c r="V40">
        <f t="shared" si="1237"/>
        <v>37</v>
      </c>
      <c r="W40" t="e">
        <f t="shared" si="1238"/>
        <v>#NAME?</v>
      </c>
      <c r="X40" t="e">
        <f t="shared" si="1239"/>
        <v>#NAME?</v>
      </c>
      <c r="Y40" t="e">
        <f t="shared" si="1240"/>
        <v>#NAME?</v>
      </c>
      <c r="Z40" t="e">
        <f t="shared" si="1228"/>
        <v>#NAME?</v>
      </c>
      <c r="AA40" t="e">
        <f t="shared" si="1241"/>
        <v>#NAME?</v>
      </c>
      <c r="AB40" t="e">
        <f t="shared" si="1242"/>
        <v>#NAME?</v>
      </c>
      <c r="AD40">
        <f t="shared" si="1246"/>
        <v>37</v>
      </c>
      <c r="AE40">
        <f t="shared" si="1243"/>
        <v>10.044686426220601</v>
      </c>
    </row>
    <row r="41">
      <c r="A41">
        <f t="shared" si="1244"/>
        <v>38</v>
      </c>
      <c r="B41">
        <v>9.5026475408720934</v>
      </c>
      <c r="D41">
        <f t="shared" si="1245"/>
        <v>38</v>
      </c>
      <c r="E41" t="e">
        <f t="shared" si="1236"/>
        <v>#NAME?</v>
      </c>
      <c r="F41" t="e">
        <f t="shared" si="1247"/>
        <v>#NAME?</v>
      </c>
      <c r="V41">
        <f t="shared" si="1237"/>
        <v>38</v>
      </c>
      <c r="W41" t="e">
        <f t="shared" si="1238"/>
        <v>#NAME?</v>
      </c>
      <c r="X41" t="e">
        <f t="shared" si="1239"/>
        <v>#NAME?</v>
      </c>
      <c r="Y41" t="e">
        <f t="shared" si="1240"/>
        <v>#NAME?</v>
      </c>
      <c r="Z41" t="e">
        <f t="shared" si="1228"/>
        <v>#NAME?</v>
      </c>
      <c r="AA41" t="e">
        <f t="shared" si="1241"/>
        <v>#NAME?</v>
      </c>
      <c r="AB41" t="e">
        <f t="shared" si="1242"/>
        <v>#NAME?</v>
      </c>
      <c r="AD41">
        <f t="shared" si="1246"/>
        <v>38</v>
      </c>
      <c r="AE41">
        <f t="shared" si="1243"/>
        <v>9.5026475408721005</v>
      </c>
    </row>
    <row r="42">
      <c r="A42">
        <f t="shared" si="1244"/>
        <v>39</v>
      </c>
      <c r="B42">
        <v>12.016635145209888</v>
      </c>
      <c r="D42">
        <f t="shared" si="1245"/>
        <v>39</v>
      </c>
      <c r="E42" t="e">
        <f t="shared" si="1236"/>
        <v>#NAME?</v>
      </c>
      <c r="F42" t="e">
        <f t="shared" si="1247"/>
        <v>#NAME?</v>
      </c>
      <c r="V42">
        <f t="shared" si="1237"/>
        <v>39</v>
      </c>
      <c r="W42" t="e">
        <f t="shared" si="1238"/>
        <v>#NAME?</v>
      </c>
      <c r="X42" t="e">
        <f t="shared" si="1239"/>
        <v>#NAME?</v>
      </c>
      <c r="Y42" t="e">
        <f t="shared" si="1240"/>
        <v>#NAME?</v>
      </c>
      <c r="Z42" t="e">
        <f t="shared" si="1228"/>
        <v>#NAME?</v>
      </c>
      <c r="AA42" t="e">
        <f t="shared" si="1241"/>
        <v>#NAME?</v>
      </c>
      <c r="AB42" t="e">
        <f t="shared" si="1242"/>
        <v>#NAME?</v>
      </c>
      <c r="AD42">
        <f t="shared" si="1246"/>
        <v>39</v>
      </c>
      <c r="AE42">
        <f t="shared" si="1243"/>
        <v>12.0166351452099</v>
      </c>
    </row>
    <row r="43">
      <c r="A43">
        <f t="shared" si="1244"/>
        <v>40</v>
      </c>
      <c r="B43">
        <v>9.6075824244635548</v>
      </c>
      <c r="D43">
        <f t="shared" si="1245"/>
        <v>40</v>
      </c>
      <c r="E43" t="e">
        <f t="shared" si="1236"/>
        <v>#NAME?</v>
      </c>
      <c r="F43" t="e">
        <f t="shared" si="1247"/>
        <v>#NAME?</v>
      </c>
      <c r="V43">
        <f t="shared" si="1237"/>
        <v>40</v>
      </c>
      <c r="W43" t="e">
        <f t="shared" si="1238"/>
        <v>#NAME?</v>
      </c>
      <c r="X43" t="e">
        <f t="shared" si="1239"/>
        <v>#NAME?</v>
      </c>
      <c r="Y43" t="e">
        <f t="shared" si="1240"/>
        <v>#NAME?</v>
      </c>
      <c r="Z43" t="e">
        <f t="shared" si="1228"/>
        <v>#NAME?</v>
      </c>
      <c r="AA43" t="e">
        <f t="shared" si="1241"/>
        <v>#NAME?</v>
      </c>
      <c r="AB43" t="e">
        <f t="shared" si="1242"/>
        <v>#NAME?</v>
      </c>
      <c r="AD43">
        <f t="shared" si="1246"/>
        <v>40</v>
      </c>
      <c r="AE43">
        <f t="shared" si="1243"/>
        <v>9.6075824244635601</v>
      </c>
    </row>
    <row r="44">
      <c r="A44">
        <f t="shared" si="1244"/>
        <v>41</v>
      </c>
      <c r="B44">
        <v>10.47879870661002</v>
      </c>
      <c r="D44">
        <f t="shared" si="1245"/>
        <v>41</v>
      </c>
      <c r="E44" t="e">
        <f t="shared" si="1236"/>
        <v>#NAME?</v>
      </c>
      <c r="F44" t="e">
        <f t="shared" si="1247"/>
        <v>#NAME?</v>
      </c>
      <c r="V44">
        <f t="shared" si="1237"/>
        <v>41</v>
      </c>
      <c r="W44" t="e">
        <f t="shared" si="1238"/>
        <v>#NAME?</v>
      </c>
      <c r="X44" t="e">
        <f t="shared" si="1239"/>
        <v>#NAME?</v>
      </c>
      <c r="Y44" t="e">
        <f t="shared" si="1240"/>
        <v>#NAME?</v>
      </c>
      <c r="Z44" t="e">
        <f t="shared" si="1228"/>
        <v>#NAME?</v>
      </c>
      <c r="AA44" t="e">
        <f t="shared" si="1241"/>
        <v>#NAME?</v>
      </c>
      <c r="AB44" t="e">
        <f t="shared" si="1242"/>
        <v>#NAME?</v>
      </c>
      <c r="AD44">
        <f t="shared" si="1246"/>
        <v>41</v>
      </c>
      <c r="AE44">
        <f t="shared" si="1243"/>
        <v>10.47879870661</v>
      </c>
    </row>
    <row r="45">
      <c r="A45">
        <f t="shared" si="1244"/>
        <v>42</v>
      </c>
      <c r="B45">
        <v>10.131145996118136</v>
      </c>
      <c r="D45">
        <f t="shared" si="1245"/>
        <v>42</v>
      </c>
      <c r="E45" t="e">
        <f t="shared" si="1236"/>
        <v>#NAME?</v>
      </c>
      <c r="F45" t="e">
        <f t="shared" si="1247"/>
        <v>#NAME?</v>
      </c>
      <c r="V45">
        <f t="shared" si="1237"/>
        <v>42</v>
      </c>
      <c r="W45" t="e">
        <f t="shared" si="1238"/>
        <v>#NAME?</v>
      </c>
      <c r="X45" t="e">
        <f t="shared" si="1239"/>
        <v>#NAME?</v>
      </c>
      <c r="Y45" t="e">
        <f t="shared" si="1240"/>
        <v>#NAME?</v>
      </c>
      <c r="Z45" t="e">
        <f t="shared" si="1228"/>
        <v>#NAME?</v>
      </c>
      <c r="AA45" t="e">
        <f t="shared" si="1241"/>
        <v>#NAME?</v>
      </c>
      <c r="AB45" t="e">
        <f t="shared" si="1242"/>
        <v>#NAME?</v>
      </c>
      <c r="AD45">
        <f t="shared" si="1246"/>
        <v>42</v>
      </c>
      <c r="AE45">
        <f t="shared" si="1243"/>
        <v>10.1311459961181</v>
      </c>
    </row>
    <row r="46">
      <c r="A46">
        <f t="shared" si="1244"/>
        <v>43</v>
      </c>
      <c r="B46">
        <v>9.3102529930939451</v>
      </c>
      <c r="D46">
        <f t="shared" si="1245"/>
        <v>43</v>
      </c>
      <c r="E46" t="e">
        <f t="shared" si="1236"/>
        <v>#NAME?</v>
      </c>
      <c r="F46" t="e">
        <f t="shared" si="1247"/>
        <v>#NAME?</v>
      </c>
      <c r="V46">
        <f t="shared" si="1237"/>
        <v>43</v>
      </c>
      <c r="W46" t="e">
        <f t="shared" si="1238"/>
        <v>#NAME?</v>
      </c>
      <c r="X46" t="e">
        <f t="shared" si="1239"/>
        <v>#NAME?</v>
      </c>
      <c r="Y46" t="e">
        <f t="shared" si="1240"/>
        <v>#NAME?</v>
      </c>
      <c r="Z46" t="e">
        <f t="shared" si="1228"/>
        <v>#NAME?</v>
      </c>
      <c r="AA46" t="e">
        <f t="shared" si="1241"/>
        <v>#NAME?</v>
      </c>
      <c r="AB46" t="e">
        <f t="shared" si="1242"/>
        <v>#NAME?</v>
      </c>
      <c r="AD46">
        <f t="shared" si="1246"/>
        <v>43</v>
      </c>
      <c r="AE46">
        <f t="shared" si="1243"/>
        <v>9.3102529930939504</v>
      </c>
    </row>
    <row r="47">
      <c r="A47">
        <f t="shared" si="1244"/>
        <v>44</v>
      </c>
      <c r="B47">
        <v>9.9532374569799149</v>
      </c>
      <c r="D47">
        <f t="shared" si="1245"/>
        <v>44</v>
      </c>
      <c r="E47" t="e">
        <f t="shared" si="1236"/>
        <v>#NAME?</v>
      </c>
      <c r="F47" t="e">
        <f t="shared" si="1247"/>
        <v>#NAME?</v>
      </c>
      <c r="V47">
        <f t="shared" si="1237"/>
        <v>44</v>
      </c>
      <c r="W47" t="e">
        <f t="shared" si="1238"/>
        <v>#NAME?</v>
      </c>
      <c r="X47" t="e">
        <f t="shared" si="1239"/>
        <v>#NAME?</v>
      </c>
      <c r="Y47" t="e">
        <f t="shared" si="1240"/>
        <v>#NAME?</v>
      </c>
      <c r="Z47" t="e">
        <f t="shared" si="1228"/>
        <v>#NAME?</v>
      </c>
      <c r="AA47" t="e">
        <f t="shared" si="1241"/>
        <v>#NAME?</v>
      </c>
      <c r="AB47" t="e">
        <f t="shared" si="1242"/>
        <v>#NAME?</v>
      </c>
      <c r="AD47">
        <f t="shared" si="1246"/>
        <v>44</v>
      </c>
      <c r="AE47">
        <f t="shared" si="1243"/>
        <v>9.9532374569799202</v>
      </c>
    </row>
    <row r="48">
      <c r="A48">
        <f t="shared" si="1244"/>
        <v>45</v>
      </c>
      <c r="B48">
        <v>9.9320829740295604</v>
      </c>
      <c r="D48">
        <f t="shared" si="1245"/>
        <v>45</v>
      </c>
      <c r="E48" t="e">
        <f t="shared" si="1236"/>
        <v>#NAME?</v>
      </c>
      <c r="F48" t="e">
        <f t="shared" si="1247"/>
        <v>#NAME?</v>
      </c>
      <c r="V48">
        <f t="shared" si="1237"/>
        <v>45</v>
      </c>
      <c r="W48" t="e">
        <f t="shared" si="1238"/>
        <v>#NAME?</v>
      </c>
      <c r="X48" t="e">
        <f t="shared" si="1239"/>
        <v>#NAME?</v>
      </c>
      <c r="Y48" t="e">
        <f t="shared" si="1240"/>
        <v>#NAME?</v>
      </c>
      <c r="Z48" t="e">
        <f t="shared" si="1228"/>
        <v>#NAME?</v>
      </c>
      <c r="AA48" t="e">
        <f t="shared" si="1241"/>
        <v>#NAME?</v>
      </c>
      <c r="AB48" t="e">
        <f t="shared" si="1242"/>
        <v>#NAME?</v>
      </c>
      <c r="AD48">
        <f t="shared" si="1246"/>
        <v>45</v>
      </c>
      <c r="AE48">
        <f t="shared" si="1243"/>
        <v>9.9320829740295604</v>
      </c>
    </row>
    <row r="49">
      <c r="A49">
        <f t="shared" si="1244"/>
        <v>46</v>
      </c>
      <c r="B49">
        <v>11.635101979488615</v>
      </c>
      <c r="D49">
        <f t="shared" si="1245"/>
        <v>46</v>
      </c>
      <c r="E49" t="e">
        <f t="shared" si="1236"/>
        <v>#NAME?</v>
      </c>
      <c r="F49" t="e">
        <f t="shared" si="1247"/>
        <v>#NAME?</v>
      </c>
      <c r="V49">
        <f t="shared" si="1237"/>
        <v>46</v>
      </c>
      <c r="W49" t="e">
        <f t="shared" si="1238"/>
        <v>#NAME?</v>
      </c>
      <c r="X49" t="e">
        <f t="shared" si="1239"/>
        <v>#NAME?</v>
      </c>
      <c r="Y49" t="e">
        <f t="shared" si="1240"/>
        <v>#NAME?</v>
      </c>
      <c r="Z49" t="e">
        <f t="shared" si="1228"/>
        <v>#NAME?</v>
      </c>
      <c r="AA49" t="e">
        <f t="shared" si="1241"/>
        <v>#NAME?</v>
      </c>
      <c r="AB49" t="e">
        <f t="shared" si="1242"/>
        <v>#NAME?</v>
      </c>
      <c r="AD49">
        <f t="shared" si="1246"/>
        <v>46</v>
      </c>
      <c r="AE49">
        <f t="shared" si="1243"/>
        <v>11.635101979488599</v>
      </c>
    </row>
    <row r="50">
      <c r="A50">
        <f t="shared" si="1244"/>
        <v>47</v>
      </c>
      <c r="B50">
        <v>10.428242822398191</v>
      </c>
      <c r="D50">
        <f t="shared" si="1245"/>
        <v>47</v>
      </c>
      <c r="E50" t="e">
        <f t="shared" si="1236"/>
        <v>#NAME?</v>
      </c>
      <c r="F50" t="e">
        <f t="shared" si="1247"/>
        <v>#NAME?</v>
      </c>
      <c r="V50">
        <f t="shared" si="1237"/>
        <v>47</v>
      </c>
      <c r="W50" t="e">
        <f t="shared" si="1238"/>
        <v>#NAME?</v>
      </c>
      <c r="X50" t="e">
        <f t="shared" si="1239"/>
        <v>#NAME?</v>
      </c>
      <c r="Y50" t="e">
        <f t="shared" si="1240"/>
        <v>#NAME?</v>
      </c>
      <c r="Z50" t="e">
        <f t="shared" si="1228"/>
        <v>#NAME?</v>
      </c>
      <c r="AA50" t="e">
        <f t="shared" si="1241"/>
        <v>#NAME?</v>
      </c>
      <c r="AB50" t="e">
        <f t="shared" si="1242"/>
        <v>#NAME?</v>
      </c>
      <c r="AD50">
        <f t="shared" si="1246"/>
        <v>47</v>
      </c>
      <c r="AE50">
        <f t="shared" si="1243"/>
        <v>10.4282428223982</v>
      </c>
    </row>
    <row r="51">
      <c r="A51">
        <f t="shared" si="1244"/>
        <v>48</v>
      </c>
      <c r="B51">
        <v>9.6942306857497602</v>
      </c>
      <c r="D51">
        <f t="shared" si="1245"/>
        <v>48</v>
      </c>
      <c r="E51" t="e">
        <f t="shared" si="1236"/>
        <v>#NAME?</v>
      </c>
      <c r="F51" t="e">
        <f t="shared" si="1247"/>
        <v>#NAME?</v>
      </c>
      <c r="V51">
        <f t="shared" si="1237"/>
        <v>48</v>
      </c>
      <c r="W51" t="e">
        <f t="shared" si="1238"/>
        <v>#NAME?</v>
      </c>
      <c r="X51" t="e">
        <f t="shared" si="1239"/>
        <v>#NAME?</v>
      </c>
      <c r="Y51" t="e">
        <f t="shared" si="1240"/>
        <v>#NAME?</v>
      </c>
      <c r="Z51" t="e">
        <f t="shared" si="1228"/>
        <v>#NAME?</v>
      </c>
      <c r="AA51" t="e">
        <f t="shared" si="1241"/>
        <v>#NAME?</v>
      </c>
      <c r="AB51" t="e">
        <f t="shared" si="1242"/>
        <v>#NAME?</v>
      </c>
      <c r="AD51">
        <f t="shared" si="1246"/>
        <v>48</v>
      </c>
      <c r="AE51">
        <f t="shared" si="1243"/>
        <v>9.6942306857497602</v>
      </c>
    </row>
    <row r="52">
      <c r="A52">
        <f t="shared" si="1244"/>
        <v>49</v>
      </c>
      <c r="B52">
        <v>10.169036752376758</v>
      </c>
      <c r="D52">
        <f t="shared" si="1245"/>
        <v>49</v>
      </c>
      <c r="E52" t="e">
        <f t="shared" si="1236"/>
        <v>#NAME?</v>
      </c>
      <c r="F52" t="e">
        <f t="shared" si="1247"/>
        <v>#NAME?</v>
      </c>
      <c r="V52">
        <f t="shared" si="1237"/>
        <v>49</v>
      </c>
      <c r="W52" t="e">
        <f t="shared" si="1238"/>
        <v>#NAME?</v>
      </c>
      <c r="X52" t="e">
        <f t="shared" si="1239"/>
        <v>#NAME?</v>
      </c>
      <c r="Y52" t="e">
        <f t="shared" si="1240"/>
        <v>#NAME?</v>
      </c>
      <c r="Z52" t="e">
        <f t="shared" si="1228"/>
        <v>#NAME?</v>
      </c>
      <c r="AA52" t="e">
        <f t="shared" si="1241"/>
        <v>#NAME?</v>
      </c>
      <c r="AB52" t="e">
        <f t="shared" si="1242"/>
        <v>#NAME?</v>
      </c>
      <c r="AD52">
        <f t="shared" si="1246"/>
        <v>49</v>
      </c>
      <c r="AE52">
        <f t="shared" si="1243"/>
        <v>10.169036752376799</v>
      </c>
    </row>
    <row r="53">
      <c r="A53">
        <f t="shared" si="1244"/>
        <v>50</v>
      </c>
      <c r="B53">
        <v>10.486655712590014</v>
      </c>
      <c r="D53">
        <f t="shared" si="1245"/>
        <v>50</v>
      </c>
      <c r="E53" t="e">
        <f t="shared" si="1236"/>
        <v>#NAME?</v>
      </c>
      <c r="F53" t="e">
        <f t="shared" si="1247"/>
        <v>#NAME?</v>
      </c>
      <c r="V53">
        <f t="shared" si="1237"/>
        <v>50</v>
      </c>
      <c r="W53" t="e">
        <f t="shared" si="1238"/>
        <v>#NAME?</v>
      </c>
      <c r="X53" t="e">
        <f t="shared" si="1239"/>
        <v>#NAME?</v>
      </c>
      <c r="Y53" t="e">
        <f t="shared" si="1240"/>
        <v>#NAME?</v>
      </c>
      <c r="Z53" t="e">
        <f t="shared" si="1228"/>
        <v>#NAME?</v>
      </c>
      <c r="AA53" t="e">
        <f t="shared" si="1241"/>
        <v>#NAME?</v>
      </c>
      <c r="AB53" t="e">
        <f t="shared" si="1242"/>
        <v>#NAME?</v>
      </c>
      <c r="AD53">
        <f t="shared" si="1246"/>
        <v>50</v>
      </c>
      <c r="AE53">
        <f t="shared" si="1243"/>
        <v>10.48665571259</v>
      </c>
    </row>
    <row r="54">
      <c r="A54">
        <f t="shared" si="1244"/>
        <v>51</v>
      </c>
      <c r="B54">
        <v>10.656149640052815</v>
      </c>
      <c r="D54">
        <f t="shared" si="1245"/>
        <v>51</v>
      </c>
      <c r="E54" t="e">
        <f t="shared" si="1236"/>
        <v>#NAME?</v>
      </c>
      <c r="F54" t="e">
        <f t="shared" si="1247"/>
        <v>#NAME?</v>
      </c>
      <c r="V54">
        <f t="shared" si="1237"/>
        <v>51</v>
      </c>
      <c r="W54" t="e">
        <f t="shared" si="1238"/>
        <v>#NAME?</v>
      </c>
      <c r="X54" t="e">
        <f t="shared" si="1239"/>
        <v>#NAME?</v>
      </c>
      <c r="Y54" t="e">
        <f t="shared" si="1240"/>
        <v>#NAME?</v>
      </c>
      <c r="Z54" t="e">
        <f t="shared" si="1228"/>
        <v>#NAME?</v>
      </c>
      <c r="AA54" t="e">
        <f t="shared" si="1241"/>
        <v>#NAME?</v>
      </c>
      <c r="AB54" t="e">
        <f t="shared" si="1242"/>
        <v>#NAME?</v>
      </c>
      <c r="AD54">
        <f t="shared" si="1246"/>
        <v>51</v>
      </c>
      <c r="AE54">
        <f t="shared" si="1243"/>
        <v>10.656149640052799</v>
      </c>
    </row>
    <row r="55">
      <c r="A55">
        <f t="shared" si="1244"/>
        <v>52</v>
      </c>
      <c r="B55">
        <v>10.129317566616013</v>
      </c>
      <c r="D55">
        <f t="shared" si="1245"/>
        <v>52</v>
      </c>
      <c r="E55" t="e">
        <f t="shared" si="1236"/>
        <v>#NAME?</v>
      </c>
      <c r="F55" t="e">
        <f t="shared" si="1247"/>
        <v>#NAME?</v>
      </c>
      <c r="V55">
        <f t="shared" si="1237"/>
        <v>52</v>
      </c>
      <c r="W55" t="e">
        <f t="shared" si="1238"/>
        <v>#NAME?</v>
      </c>
      <c r="X55" t="e">
        <f t="shared" si="1239"/>
        <v>#NAME?</v>
      </c>
      <c r="Y55" t="e">
        <f t="shared" si="1240"/>
        <v>#NAME?</v>
      </c>
      <c r="Z55" t="e">
        <f t="shared" si="1228"/>
        <v>#NAME?</v>
      </c>
      <c r="AA55" t="e">
        <f t="shared" si="1241"/>
        <v>#NAME?</v>
      </c>
      <c r="AB55" t="e">
        <f t="shared" si="1242"/>
        <v>#NAME?</v>
      </c>
      <c r="AD55">
        <f t="shared" si="1246"/>
        <v>52</v>
      </c>
      <c r="AE55">
        <f t="shared" si="1243"/>
        <v>10.129317566616001</v>
      </c>
    </row>
    <row r="56">
      <c r="A56">
        <f t="shared" si="1244"/>
        <v>53</v>
      </c>
      <c r="B56">
        <v>8.9663057524182062</v>
      </c>
      <c r="D56">
        <f t="shared" si="1245"/>
        <v>53</v>
      </c>
      <c r="E56" t="e">
        <f t="shared" si="1236"/>
        <v>#NAME?</v>
      </c>
      <c r="F56" t="e">
        <f t="shared" si="1247"/>
        <v>#NAME?</v>
      </c>
      <c r="V56">
        <f t="shared" si="1237"/>
        <v>53</v>
      </c>
      <c r="W56" t="e">
        <f t="shared" si="1238"/>
        <v>#NAME?</v>
      </c>
      <c r="X56" t="e">
        <f t="shared" si="1239"/>
        <v>#NAME?</v>
      </c>
      <c r="Y56" t="e">
        <f t="shared" si="1240"/>
        <v>#NAME?</v>
      </c>
      <c r="Z56" t="e">
        <f t="shared" si="1228"/>
        <v>#NAME?</v>
      </c>
      <c r="AA56" t="e">
        <f t="shared" si="1241"/>
        <v>#NAME?</v>
      </c>
      <c r="AB56" t="e">
        <f t="shared" si="1242"/>
        <v>#NAME?</v>
      </c>
      <c r="AD56">
        <f t="shared" si="1246"/>
        <v>53</v>
      </c>
      <c r="AE56">
        <f t="shared" si="1243"/>
        <v>8.9663057524182097</v>
      </c>
    </row>
    <row r="57">
      <c r="A57">
        <f t="shared" si="1244"/>
        <v>54</v>
      </c>
      <c r="B57">
        <v>8.1067514389924806</v>
      </c>
      <c r="D57">
        <f t="shared" si="1245"/>
        <v>54</v>
      </c>
      <c r="E57" t="e">
        <f t="shared" si="1236"/>
        <v>#NAME?</v>
      </c>
      <c r="F57" t="e">
        <f t="shared" si="1247"/>
        <v>#NAME?</v>
      </c>
      <c r="V57">
        <f t="shared" si="1237"/>
        <v>54</v>
      </c>
      <c r="W57" t="e">
        <f t="shared" si="1238"/>
        <v>#NAME?</v>
      </c>
      <c r="X57" t="e">
        <f t="shared" si="1239"/>
        <v>#NAME?</v>
      </c>
      <c r="Y57" t="e">
        <f t="shared" si="1240"/>
        <v>#NAME?</v>
      </c>
      <c r="Z57" t="e">
        <f t="shared" si="1228"/>
        <v>#NAME?</v>
      </c>
      <c r="AA57" t="e">
        <f t="shared" si="1241"/>
        <v>#NAME?</v>
      </c>
      <c r="AB57" t="e">
        <f t="shared" si="1242"/>
        <v>#NAME?</v>
      </c>
      <c r="AD57">
        <f t="shared" si="1246"/>
        <v>54</v>
      </c>
      <c r="AE57">
        <f t="shared" si="1243"/>
        <v>8.1067514389924806</v>
      </c>
    </row>
    <row r="58">
      <c r="A58">
        <f t="shared" si="1244"/>
        <v>55</v>
      </c>
      <c r="B58">
        <v>8.6738987578515001</v>
      </c>
      <c r="D58">
        <f t="shared" si="1245"/>
        <v>55</v>
      </c>
      <c r="E58" t="e">
        <f t="shared" si="1236"/>
        <v>#NAME?</v>
      </c>
      <c r="F58" t="e">
        <f t="shared" si="1247"/>
        <v>#NAME?</v>
      </c>
      <c r="V58">
        <f t="shared" si="1237"/>
        <v>55</v>
      </c>
      <c r="W58" t="e">
        <f t="shared" si="1238"/>
        <v>#NAME?</v>
      </c>
      <c r="X58" t="e">
        <f t="shared" si="1239"/>
        <v>#NAME?</v>
      </c>
      <c r="Y58" t="e">
        <f t="shared" si="1240"/>
        <v>#NAME?</v>
      </c>
      <c r="Z58" t="e">
        <f t="shared" si="1228"/>
        <v>#NAME?</v>
      </c>
      <c r="AA58" t="e">
        <f t="shared" si="1241"/>
        <v>#NAME?</v>
      </c>
      <c r="AB58" t="e">
        <f t="shared" si="1242"/>
        <v>#NAME?</v>
      </c>
      <c r="AD58">
        <f t="shared" si="1246"/>
        <v>55</v>
      </c>
      <c r="AE58">
        <f t="shared" si="1243"/>
        <v>8.6738987578515001</v>
      </c>
    </row>
    <row r="59">
      <c r="A59">
        <f t="shared" si="1244"/>
        <v>56</v>
      </c>
      <c r="B59">
        <v>8.7398621237592646</v>
      </c>
      <c r="D59">
        <f t="shared" si="1245"/>
        <v>56</v>
      </c>
      <c r="E59" t="e">
        <f t="shared" si="1236"/>
        <v>#NAME?</v>
      </c>
      <c r="F59" t="e">
        <f t="shared" si="1247"/>
        <v>#NAME?</v>
      </c>
      <c r="V59">
        <f t="shared" si="1237"/>
        <v>56</v>
      </c>
      <c r="W59" t="e">
        <f t="shared" si="1238"/>
        <v>#NAME?</v>
      </c>
      <c r="X59" t="e">
        <f t="shared" si="1239"/>
        <v>#NAME?</v>
      </c>
      <c r="Y59" t="e">
        <f t="shared" si="1240"/>
        <v>#NAME?</v>
      </c>
      <c r="Z59" t="e">
        <f t="shared" si="1228"/>
        <v>#NAME?</v>
      </c>
      <c r="AA59" t="e">
        <f t="shared" si="1241"/>
        <v>#NAME?</v>
      </c>
      <c r="AB59" t="e">
        <f t="shared" si="1242"/>
        <v>#NAME?</v>
      </c>
      <c r="AD59">
        <f t="shared" si="1246"/>
        <v>56</v>
      </c>
      <c r="AE59">
        <f t="shared" si="1243"/>
        <v>8.73986212375927</v>
      </c>
    </row>
    <row r="60">
      <c r="A60">
        <f t="shared" si="1244"/>
        <v>57</v>
      </c>
      <c r="B60">
        <v>8.7639760975280581</v>
      </c>
      <c r="D60">
        <f t="shared" si="1245"/>
        <v>57</v>
      </c>
      <c r="E60" t="e">
        <f t="shared" si="1236"/>
        <v>#NAME?</v>
      </c>
      <c r="F60" t="e">
        <f t="shared" si="1247"/>
        <v>#NAME?</v>
      </c>
      <c r="V60">
        <f t="shared" si="1237"/>
        <v>57</v>
      </c>
      <c r="W60" t="e">
        <f t="shared" si="1238"/>
        <v>#NAME?</v>
      </c>
      <c r="X60" t="e">
        <f t="shared" si="1239"/>
        <v>#NAME?</v>
      </c>
      <c r="Y60" t="e">
        <f t="shared" si="1240"/>
        <v>#NAME?</v>
      </c>
      <c r="Z60" t="e">
        <f t="shared" si="1228"/>
        <v>#NAME?</v>
      </c>
      <c r="AA60" t="e">
        <f t="shared" si="1241"/>
        <v>#NAME?</v>
      </c>
      <c r="AB60" t="e">
        <f t="shared" si="1242"/>
        <v>#NAME?</v>
      </c>
      <c r="AD60">
        <f t="shared" si="1246"/>
        <v>57</v>
      </c>
      <c r="AE60">
        <f t="shared" si="1243"/>
        <v>8.7639760975280598</v>
      </c>
    </row>
    <row r="61">
      <c r="A61">
        <f t="shared" si="1244"/>
        <v>58</v>
      </c>
      <c r="B61">
        <v>10.607632270250908</v>
      </c>
      <c r="D61">
        <f t="shared" si="1245"/>
        <v>58</v>
      </c>
      <c r="E61" t="e">
        <f t="shared" si="1236"/>
        <v>#NAME?</v>
      </c>
      <c r="F61" t="e">
        <f t="shared" si="1247"/>
        <v>#NAME?</v>
      </c>
      <c r="V61">
        <f t="shared" si="1237"/>
        <v>58</v>
      </c>
      <c r="W61" t="e">
        <f t="shared" si="1238"/>
        <v>#NAME?</v>
      </c>
      <c r="X61" t="e">
        <f t="shared" si="1239"/>
        <v>#NAME?</v>
      </c>
      <c r="Y61" t="e">
        <f t="shared" si="1240"/>
        <v>#NAME?</v>
      </c>
      <c r="Z61" t="e">
        <f t="shared" si="1228"/>
        <v>#NAME?</v>
      </c>
      <c r="AA61" t="e">
        <f t="shared" si="1241"/>
        <v>#NAME?</v>
      </c>
      <c r="AB61" t="e">
        <f t="shared" si="1242"/>
        <v>#NAME?</v>
      </c>
      <c r="AD61">
        <f t="shared" si="1246"/>
        <v>58</v>
      </c>
      <c r="AE61">
        <f t="shared" si="1243"/>
        <v>10.6076322702509</v>
      </c>
    </row>
    <row r="62">
      <c r="A62">
        <f t="shared" si="1244"/>
        <v>59</v>
      </c>
      <c r="B62">
        <v>8.8462843661117905</v>
      </c>
      <c r="D62">
        <f t="shared" si="1245"/>
        <v>59</v>
      </c>
      <c r="E62" t="e">
        <f t="shared" si="1236"/>
        <v>#NAME?</v>
      </c>
      <c r="F62" t="e">
        <f t="shared" si="1247"/>
        <v>#NAME?</v>
      </c>
      <c r="V62">
        <f t="shared" si="1237"/>
        <v>59</v>
      </c>
      <c r="W62" t="e">
        <f t="shared" si="1238"/>
        <v>#NAME?</v>
      </c>
      <c r="X62" t="e">
        <f t="shared" si="1239"/>
        <v>#NAME?</v>
      </c>
      <c r="Y62" t="e">
        <f t="shared" si="1240"/>
        <v>#NAME?</v>
      </c>
      <c r="Z62" t="e">
        <f t="shared" si="1228"/>
        <v>#NAME?</v>
      </c>
      <c r="AA62" t="e">
        <f t="shared" si="1241"/>
        <v>#NAME?</v>
      </c>
      <c r="AB62" t="e">
        <f t="shared" si="1242"/>
        <v>#NAME?</v>
      </c>
      <c r="AD62">
        <f t="shared" si="1246"/>
        <v>59</v>
      </c>
      <c r="AE62">
        <f t="shared" si="1243"/>
        <v>8.8462843661117905</v>
      </c>
    </row>
    <row r="63">
      <c r="A63">
        <f t="shared" si="1244"/>
        <v>60</v>
      </c>
      <c r="B63">
        <v>8.197430472078814</v>
      </c>
      <c r="D63">
        <f t="shared" si="1245"/>
        <v>60</v>
      </c>
      <c r="E63" t="e">
        <f t="shared" si="1236"/>
        <v>#NAME?</v>
      </c>
      <c r="F63" t="e">
        <f t="shared" si="1247"/>
        <v>#NAME?</v>
      </c>
      <c r="V63">
        <f t="shared" si="1237"/>
        <v>60</v>
      </c>
      <c r="W63" t="e">
        <f t="shared" si="1238"/>
        <v>#NAME?</v>
      </c>
      <c r="X63" t="e">
        <f t="shared" si="1239"/>
        <v>#NAME?</v>
      </c>
      <c r="Y63" t="e">
        <f t="shared" si="1240"/>
        <v>#NAME?</v>
      </c>
      <c r="Z63" t="e">
        <f t="shared" si="1228"/>
        <v>#NAME?</v>
      </c>
      <c r="AA63" t="e">
        <f t="shared" si="1241"/>
        <v>#NAME?</v>
      </c>
      <c r="AB63" t="e">
        <f t="shared" si="1242"/>
        <v>#NAME?</v>
      </c>
      <c r="AD63">
        <f t="shared" si="1246"/>
        <v>60</v>
      </c>
      <c r="AE63">
        <f t="shared" si="1243"/>
        <v>8.1974304720788194</v>
      </c>
    </row>
    <row r="64">
      <c r="A64">
        <f t="shared" si="1244"/>
        <v>61</v>
      </c>
      <c r="B64">
        <v>9.7004678107933984</v>
      </c>
      <c r="D64">
        <f t="shared" si="1245"/>
        <v>61</v>
      </c>
      <c r="E64" t="e">
        <f t="shared" si="1236"/>
        <v>#NAME?</v>
      </c>
      <c r="F64" t="e">
        <f t="shared" si="1247"/>
        <v>#NAME?</v>
      </c>
      <c r="V64">
        <f t="shared" si="1237"/>
        <v>61</v>
      </c>
      <c r="W64" t="e">
        <f t="shared" si="1238"/>
        <v>#NAME?</v>
      </c>
      <c r="X64" t="e">
        <f t="shared" si="1239"/>
        <v>#NAME?</v>
      </c>
      <c r="Y64" t="e">
        <f t="shared" si="1240"/>
        <v>#NAME?</v>
      </c>
      <c r="Z64" t="e">
        <f t="shared" si="1228"/>
        <v>#NAME?</v>
      </c>
      <c r="AA64" t="e">
        <f t="shared" si="1241"/>
        <v>#NAME?</v>
      </c>
      <c r="AB64" t="e">
        <f t="shared" si="1242"/>
        <v>#NAME?</v>
      </c>
      <c r="AD64">
        <f t="shared" si="1246"/>
        <v>61</v>
      </c>
      <c r="AE64">
        <f t="shared" si="1243"/>
        <v>9.7004678107934001</v>
      </c>
    </row>
    <row r="65">
      <c r="A65">
        <f t="shared" si="1244"/>
        <v>62</v>
      </c>
      <c r="B65">
        <v>9.4988084630262417</v>
      </c>
      <c r="D65">
        <f t="shared" si="1245"/>
        <v>62</v>
      </c>
      <c r="E65" t="e">
        <f t="shared" si="1236"/>
        <v>#NAME?</v>
      </c>
      <c r="F65" t="e">
        <f t="shared" si="1247"/>
        <v>#NAME?</v>
      </c>
      <c r="V65">
        <f t="shared" si="1237"/>
        <v>62</v>
      </c>
      <c r="W65" t="e">
        <f t="shared" si="1238"/>
        <v>#NAME?</v>
      </c>
      <c r="X65" t="e">
        <f t="shared" si="1239"/>
        <v>#NAME?</v>
      </c>
      <c r="Y65" t="e">
        <f t="shared" si="1240"/>
        <v>#NAME?</v>
      </c>
      <c r="Z65" t="e">
        <f t="shared" si="1228"/>
        <v>#NAME?</v>
      </c>
      <c r="AA65" t="e">
        <f t="shared" si="1241"/>
        <v>#NAME?</v>
      </c>
      <c r="AB65" t="e">
        <f t="shared" si="1242"/>
        <v>#NAME?</v>
      </c>
      <c r="AD65">
        <f t="shared" si="1246"/>
        <v>62</v>
      </c>
      <c r="AE65">
        <f t="shared" si="1243"/>
        <v>9.4988084630262399</v>
      </c>
    </row>
    <row r="66">
      <c r="A66">
        <f t="shared" si="1244"/>
        <v>63</v>
      </c>
      <c r="B66">
        <v>9.7003857789385926</v>
      </c>
      <c r="D66">
        <f t="shared" si="1245"/>
        <v>63</v>
      </c>
      <c r="E66" t="e">
        <f t="shared" si="1236"/>
        <v>#NAME?</v>
      </c>
      <c r="F66" t="e">
        <f t="shared" si="1247"/>
        <v>#NAME?</v>
      </c>
      <c r="V66">
        <f t="shared" si="1237"/>
        <v>63</v>
      </c>
      <c r="W66" t="e">
        <f t="shared" si="1238"/>
        <v>#NAME?</v>
      </c>
      <c r="X66" t="e">
        <f t="shared" si="1239"/>
        <v>#NAME?</v>
      </c>
      <c r="Y66" t="e">
        <f t="shared" si="1240"/>
        <v>#NAME?</v>
      </c>
      <c r="Z66" t="e">
        <f t="shared" si="1228"/>
        <v>#NAME?</v>
      </c>
      <c r="AA66" t="e">
        <f t="shared" si="1241"/>
        <v>#NAME?</v>
      </c>
      <c r="AB66" t="e">
        <f t="shared" si="1242"/>
        <v>#NAME?</v>
      </c>
      <c r="AD66">
        <f t="shared" si="1246"/>
        <v>63</v>
      </c>
      <c r="AE66">
        <f t="shared" si="1243"/>
        <v>9.7003857789385908</v>
      </c>
    </row>
    <row r="67">
      <c r="A67">
        <f t="shared" si="1244"/>
        <v>64</v>
      </c>
      <c r="B67">
        <v>9.8196279939384326</v>
      </c>
      <c r="D67">
        <f t="shared" si="1245"/>
        <v>64</v>
      </c>
      <c r="E67" t="e">
        <f t="shared" si="1236"/>
        <v>#NAME?</v>
      </c>
      <c r="F67" t="e">
        <f t="shared" si="1247"/>
        <v>#NAME?</v>
      </c>
      <c r="V67">
        <f t="shared" si="1237"/>
        <v>64</v>
      </c>
      <c r="W67" t="e">
        <f t="shared" si="1238"/>
        <v>#NAME?</v>
      </c>
      <c r="X67" t="e">
        <f t="shared" si="1239"/>
        <v>#NAME?</v>
      </c>
      <c r="Y67" t="e">
        <f t="shared" si="1240"/>
        <v>#NAME?</v>
      </c>
      <c r="Z67" t="e">
        <f t="shared" si="1228"/>
        <v>#NAME?</v>
      </c>
      <c r="AA67" t="e">
        <f t="shared" si="1241"/>
        <v>#NAME?</v>
      </c>
      <c r="AB67" t="e">
        <f t="shared" si="1242"/>
        <v>#NAME?</v>
      </c>
      <c r="AD67">
        <f t="shared" si="1246"/>
        <v>64</v>
      </c>
      <c r="AE67">
        <f t="shared" si="1243"/>
        <v>9.8196279939384308</v>
      </c>
    </row>
    <row r="68">
      <c r="A68">
        <f t="shared" si="1244"/>
        <v>65</v>
      </c>
      <c r="B68">
        <v>12.357045585234705</v>
      </c>
      <c r="D68">
        <f t="shared" si="1245"/>
        <v>65</v>
      </c>
      <c r="E68" t="e">
        <f t="shared" si="1236"/>
        <v>#NAME?</v>
      </c>
      <c r="F68" t="e">
        <f t="shared" si="1247"/>
        <v>#NAME?</v>
      </c>
      <c r="V68">
        <f t="shared" si="1237"/>
        <v>65</v>
      </c>
      <c r="W68" t="e">
        <f t="shared" si="1238"/>
        <v>#NAME?</v>
      </c>
      <c r="X68" t="e">
        <f t="shared" si="1239"/>
        <v>#NAME?</v>
      </c>
      <c r="Y68" t="e">
        <f t="shared" si="1240"/>
        <v>#NAME?</v>
      </c>
      <c r="Z68" t="e">
        <f t="shared" ref="Z68:Z108" si="1249">J$15</f>
        <v>#NAME?</v>
      </c>
      <c r="AA68" t="e">
        <f t="shared" si="1241"/>
        <v>#NAME?</v>
      </c>
      <c r="AB68" t="e">
        <f t="shared" si="1242"/>
        <v>#NAME?</v>
      </c>
      <c r="AD68">
        <f t="shared" si="1246"/>
        <v>65</v>
      </c>
      <c r="AE68">
        <f t="shared" si="1243"/>
        <v>12.357045585234699</v>
      </c>
    </row>
    <row r="69">
      <c r="A69">
        <f t="shared" si="1244"/>
        <v>66</v>
      </c>
      <c r="B69">
        <v>10.923604414101041</v>
      </c>
      <c r="D69">
        <f t="shared" si="1245"/>
        <v>66</v>
      </c>
      <c r="E69" t="e">
        <f t="shared" si="1236"/>
        <v>#NAME?</v>
      </c>
      <c r="F69" t="e">
        <f t="shared" si="1247"/>
        <v>#NAME?</v>
      </c>
      <c r="V69">
        <f t="shared" si="1237"/>
        <v>66</v>
      </c>
      <c r="W69" t="e">
        <f t="shared" si="1238"/>
        <v>#NAME?</v>
      </c>
      <c r="X69" t="e">
        <f t="shared" si="1239"/>
        <v>#NAME?</v>
      </c>
      <c r="Y69" t="e">
        <f t="shared" si="1240"/>
        <v>#NAME?</v>
      </c>
      <c r="Z69" t="e">
        <f t="shared" si="1249"/>
        <v>#NAME?</v>
      </c>
      <c r="AA69" t="e">
        <f t="shared" si="1241"/>
        <v>#NAME?</v>
      </c>
      <c r="AB69" t="e">
        <f t="shared" si="1242"/>
        <v>#NAME?</v>
      </c>
      <c r="AD69">
        <f t="shared" si="1246"/>
        <v>66</v>
      </c>
      <c r="AE69">
        <f t="shared" si="1243"/>
        <v>10.923604414101</v>
      </c>
    </row>
    <row r="70">
      <c r="A70">
        <f t="shared" si="1244"/>
        <v>67</v>
      </c>
      <c r="B70">
        <v>9.7007658466065791</v>
      </c>
      <c r="D70">
        <f t="shared" si="1245"/>
        <v>67</v>
      </c>
      <c r="E70" t="e">
        <f t="shared" si="1236"/>
        <v>#NAME?</v>
      </c>
      <c r="F70" t="e">
        <f t="shared" si="1247"/>
        <v>#NAME?</v>
      </c>
      <c r="V70">
        <f t="shared" si="1237"/>
        <v>67</v>
      </c>
      <c r="W70" t="e">
        <f t="shared" si="1238"/>
        <v>#NAME?</v>
      </c>
      <c r="X70" t="e">
        <f t="shared" si="1239"/>
        <v>#NAME?</v>
      </c>
      <c r="Y70" t="e">
        <f t="shared" si="1240"/>
        <v>#NAME?</v>
      </c>
      <c r="Z70" t="e">
        <f t="shared" si="1249"/>
        <v>#NAME?</v>
      </c>
      <c r="AA70" t="e">
        <f t="shared" si="1241"/>
        <v>#NAME?</v>
      </c>
      <c r="AB70" t="e">
        <f t="shared" si="1242"/>
        <v>#NAME?</v>
      </c>
      <c r="AD70">
        <f t="shared" si="1246"/>
        <v>67</v>
      </c>
      <c r="AE70">
        <f t="shared" si="1243"/>
        <v>9.7007658466065791</v>
      </c>
    </row>
    <row r="71">
      <c r="A71">
        <f t="shared" si="1244"/>
        <v>68</v>
      </c>
      <c r="B71">
        <v>10.274161064714082</v>
      </c>
      <c r="D71">
        <f t="shared" si="1245"/>
        <v>68</v>
      </c>
      <c r="E71" t="e">
        <f t="shared" si="1236"/>
        <v>#NAME?</v>
      </c>
      <c r="F71" t="e">
        <f t="shared" si="1247"/>
        <v>#NAME?</v>
      </c>
      <c r="V71">
        <f t="shared" si="1237"/>
        <v>68</v>
      </c>
      <c r="W71" t="e">
        <f t="shared" si="1238"/>
        <v>#NAME?</v>
      </c>
      <c r="X71" t="e">
        <f t="shared" si="1239"/>
        <v>#NAME?</v>
      </c>
      <c r="Y71" t="e">
        <f t="shared" si="1240"/>
        <v>#NAME?</v>
      </c>
      <c r="Z71" t="e">
        <f t="shared" si="1249"/>
        <v>#NAME?</v>
      </c>
      <c r="AA71" t="e">
        <f t="shared" si="1241"/>
        <v>#NAME?</v>
      </c>
      <c r="AB71" t="e">
        <f t="shared" si="1242"/>
        <v>#NAME?</v>
      </c>
      <c r="AD71">
        <f t="shared" si="1246"/>
        <v>68</v>
      </c>
      <c r="AE71">
        <f t="shared" si="1243"/>
        <v>10.2741610647141</v>
      </c>
    </row>
    <row r="72">
      <c r="A72">
        <f t="shared" si="1244"/>
        <v>69</v>
      </c>
      <c r="B72">
        <v>9.7560808735559998</v>
      </c>
      <c r="D72">
        <f t="shared" si="1245"/>
        <v>69</v>
      </c>
      <c r="E72" t="e">
        <f t="shared" si="1236"/>
        <v>#NAME?</v>
      </c>
      <c r="F72" t="e">
        <f t="shared" si="1247"/>
        <v>#NAME?</v>
      </c>
      <c r="V72">
        <f t="shared" si="1237"/>
        <v>69</v>
      </c>
      <c r="W72" t="e">
        <f t="shared" si="1238"/>
        <v>#NAME?</v>
      </c>
      <c r="X72" t="e">
        <f t="shared" si="1239"/>
        <v>#NAME?</v>
      </c>
      <c r="Y72" t="e">
        <f t="shared" si="1240"/>
        <v>#NAME?</v>
      </c>
      <c r="Z72" t="e">
        <f t="shared" si="1249"/>
        <v>#NAME?</v>
      </c>
      <c r="AA72" t="e">
        <f t="shared" si="1241"/>
        <v>#NAME?</v>
      </c>
      <c r="AB72" t="e">
        <f t="shared" si="1242"/>
        <v>#NAME?</v>
      </c>
      <c r="AD72">
        <f t="shared" si="1246"/>
        <v>69</v>
      </c>
      <c r="AE72">
        <f t="shared" si="1243"/>
        <v>9.7560808735559998</v>
      </c>
    </row>
    <row r="73">
      <c r="A73">
        <f t="shared" si="1244"/>
        <v>70</v>
      </c>
      <c r="B73">
        <v>9.2877318420515778</v>
      </c>
      <c r="D73">
        <f t="shared" si="1245"/>
        <v>70</v>
      </c>
      <c r="E73" t="e">
        <f t="shared" si="1236"/>
        <v>#NAME?</v>
      </c>
      <c r="F73" t="e">
        <f t="shared" si="1247"/>
        <v>#NAME?</v>
      </c>
      <c r="V73">
        <f t="shared" si="1237"/>
        <v>70</v>
      </c>
      <c r="W73" t="e">
        <f t="shared" si="1238"/>
        <v>#NAME?</v>
      </c>
      <c r="X73" t="e">
        <f t="shared" si="1239"/>
        <v>#NAME?</v>
      </c>
      <c r="Y73" t="e">
        <f t="shared" si="1240"/>
        <v>#NAME?</v>
      </c>
      <c r="Z73" t="e">
        <f t="shared" si="1249"/>
        <v>#NAME?</v>
      </c>
      <c r="AA73" t="e">
        <f t="shared" si="1241"/>
        <v>#NAME?</v>
      </c>
      <c r="AB73" t="e">
        <f t="shared" si="1242"/>
        <v>#NAME?</v>
      </c>
      <c r="AD73">
        <f t="shared" si="1246"/>
        <v>70</v>
      </c>
      <c r="AE73">
        <f t="shared" si="1243"/>
        <v>9.2877318420515795</v>
      </c>
    </row>
    <row r="74">
      <c r="A74">
        <f t="shared" si="1244"/>
        <v>71</v>
      </c>
      <c r="B74">
        <v>8.7948076969057745</v>
      </c>
      <c r="D74">
        <f t="shared" si="1245"/>
        <v>71</v>
      </c>
      <c r="E74" t="e">
        <f t="shared" ref="E74:E99" si="1250">B74-J$6</f>
        <v>#NAME?</v>
      </c>
      <c r="F74" t="e">
        <f t="shared" si="1247"/>
        <v>#NAME?</v>
      </c>
      <c r="V74">
        <f t="shared" ref="V74:V99" si="1251">D74</f>
        <v>71</v>
      </c>
      <c r="W74" t="e">
        <f t="shared" ref="W74:W99" si="1252">E74</f>
        <v>#NAME?</v>
      </c>
      <c r="X74" t="e">
        <f t="shared" ref="X74:X99" si="1253">F74</f>
        <v>#NAME?</v>
      </c>
      <c r="Y74" t="e">
        <f t="shared" ref="Y74:Y99" si="1254">W74-X74</f>
        <v>#NAME?</v>
      </c>
      <c r="Z74" t="e">
        <f t="shared" si="1249"/>
        <v>#NAME?</v>
      </c>
      <c r="AA74" t="e">
        <f t="shared" ref="AA74:AA99" si="1255">Y74-NORMSINV(1-Z$2/2)*Z74</f>
        <v>#NAME?</v>
      </c>
      <c r="AB74" t="e">
        <f t="shared" ref="AB74:AB99" si="1256">Y74+NORMSINV(1-Z$2/2)*Z74</f>
        <v>#NAME?</v>
      </c>
      <c r="AD74">
        <f t="shared" si="1246"/>
        <v>71</v>
      </c>
      <c r="AE74">
        <f t="shared" ref="AE74:AE99" si="1257">B74</f>
        <v>8.7948076969057798</v>
      </c>
    </row>
    <row r="75">
      <c r="A75">
        <f t="shared" ref="A75:A100" si="1258">A74+1</f>
        <v>72</v>
      </c>
      <c r="B75">
        <v>9.9521659452576507</v>
      </c>
      <c r="D75">
        <f t="shared" ref="D75:D100" si="1259">D74+1</f>
        <v>72</v>
      </c>
      <c r="E75" t="e">
        <f t="shared" si="1250"/>
        <v>#NAME?</v>
      </c>
      <c r="F75" t="e">
        <f t="shared" si="1247"/>
        <v>#NAME?</v>
      </c>
      <c r="V75">
        <f t="shared" si="1251"/>
        <v>72</v>
      </c>
      <c r="W75" t="e">
        <f t="shared" si="1252"/>
        <v>#NAME?</v>
      </c>
      <c r="X75" t="e">
        <f t="shared" si="1253"/>
        <v>#NAME?</v>
      </c>
      <c r="Y75" t="e">
        <f t="shared" si="1254"/>
        <v>#NAME?</v>
      </c>
      <c r="Z75" t="e">
        <f t="shared" si="1249"/>
        <v>#NAME?</v>
      </c>
      <c r="AA75" t="e">
        <f t="shared" si="1255"/>
        <v>#NAME?</v>
      </c>
      <c r="AB75" t="e">
        <f t="shared" si="1256"/>
        <v>#NAME?</v>
      </c>
      <c r="AD75">
        <f t="shared" ref="AD75:AD100" si="1260">AD74+1</f>
        <v>72</v>
      </c>
      <c r="AE75">
        <f t="shared" si="1257"/>
        <v>9.9521659452576507</v>
      </c>
    </row>
    <row r="76">
      <c r="A76">
        <f t="shared" si="1258"/>
        <v>73</v>
      </c>
      <c r="B76">
        <v>9.1465177932835449</v>
      </c>
      <c r="D76">
        <f t="shared" si="1259"/>
        <v>73</v>
      </c>
      <c r="E76" t="e">
        <f t="shared" si="1250"/>
        <v>#NAME?</v>
      </c>
      <c r="F76" t="e">
        <f t="shared" ref="F76:F99" si="1261">E76-SUMPRODUCT(E74:E75,I$4:I$5)-SUMPRODUCT(F74:F75,J$4:J$5)</f>
        <v>#NAME?</v>
      </c>
      <c r="V76">
        <f t="shared" si="1251"/>
        <v>73</v>
      </c>
      <c r="W76" t="e">
        <f t="shared" si="1252"/>
        <v>#NAME?</v>
      </c>
      <c r="X76" t="e">
        <f t="shared" si="1253"/>
        <v>#NAME?</v>
      </c>
      <c r="Y76" t="e">
        <f t="shared" si="1254"/>
        <v>#NAME?</v>
      </c>
      <c r="Z76" t="e">
        <f t="shared" si="1249"/>
        <v>#NAME?</v>
      </c>
      <c r="AA76" t="e">
        <f t="shared" si="1255"/>
        <v>#NAME?</v>
      </c>
      <c r="AB76" t="e">
        <f t="shared" si="1256"/>
        <v>#NAME?</v>
      </c>
      <c r="AD76">
        <f t="shared" si="1260"/>
        <v>73</v>
      </c>
      <c r="AE76">
        <f t="shared" si="1257"/>
        <v>9.1465177932835502</v>
      </c>
    </row>
    <row r="77">
      <c r="A77">
        <f t="shared" si="1258"/>
        <v>74</v>
      </c>
      <c r="B77">
        <v>8.4120728228094741</v>
      </c>
      <c r="D77">
        <f t="shared" si="1259"/>
        <v>74</v>
      </c>
      <c r="E77" t="e">
        <f t="shared" si="1250"/>
        <v>#NAME?</v>
      </c>
      <c r="F77" t="e">
        <f t="shared" si="1261"/>
        <v>#NAME?</v>
      </c>
      <c r="V77">
        <f t="shared" si="1251"/>
        <v>74</v>
      </c>
      <c r="W77" t="e">
        <f t="shared" si="1252"/>
        <v>#NAME?</v>
      </c>
      <c r="X77" t="e">
        <f t="shared" si="1253"/>
        <v>#NAME?</v>
      </c>
      <c r="Y77" t="e">
        <f t="shared" si="1254"/>
        <v>#NAME?</v>
      </c>
      <c r="Z77" t="e">
        <f t="shared" si="1249"/>
        <v>#NAME?</v>
      </c>
      <c r="AA77" t="e">
        <f t="shared" si="1255"/>
        <v>#NAME?</v>
      </c>
      <c r="AB77" t="e">
        <f t="shared" si="1256"/>
        <v>#NAME?</v>
      </c>
      <c r="AD77">
        <f t="shared" si="1260"/>
        <v>74</v>
      </c>
      <c r="AE77">
        <f t="shared" si="1257"/>
        <v>8.4120728228094794</v>
      </c>
    </row>
    <row r="78">
      <c r="A78">
        <f t="shared" si="1258"/>
        <v>75</v>
      </c>
      <c r="B78">
        <v>9.7238473406247508</v>
      </c>
      <c r="D78">
        <f t="shared" si="1259"/>
        <v>75</v>
      </c>
      <c r="E78" t="e">
        <f t="shared" si="1250"/>
        <v>#NAME?</v>
      </c>
      <c r="F78" t="e">
        <f t="shared" si="1261"/>
        <v>#NAME?</v>
      </c>
      <c r="V78">
        <f t="shared" si="1251"/>
        <v>75</v>
      </c>
      <c r="W78" t="e">
        <f t="shared" si="1252"/>
        <v>#NAME?</v>
      </c>
      <c r="X78" t="e">
        <f t="shared" si="1253"/>
        <v>#NAME?</v>
      </c>
      <c r="Y78" t="e">
        <f t="shared" si="1254"/>
        <v>#NAME?</v>
      </c>
      <c r="Z78" t="e">
        <f t="shared" si="1249"/>
        <v>#NAME?</v>
      </c>
      <c r="AA78" t="e">
        <f t="shared" si="1255"/>
        <v>#NAME?</v>
      </c>
      <c r="AB78" t="e">
        <f t="shared" si="1256"/>
        <v>#NAME?</v>
      </c>
      <c r="AD78">
        <f t="shared" si="1260"/>
        <v>75</v>
      </c>
      <c r="AE78">
        <f t="shared" si="1257"/>
        <v>9.7238473406247508</v>
      </c>
    </row>
    <row r="79">
      <c r="A79">
        <f t="shared" si="1258"/>
        <v>76</v>
      </c>
      <c r="B79">
        <v>8.4487887533605956</v>
      </c>
      <c r="D79">
        <f t="shared" si="1259"/>
        <v>76</v>
      </c>
      <c r="E79" t="e">
        <f t="shared" si="1250"/>
        <v>#NAME?</v>
      </c>
      <c r="F79" t="e">
        <f t="shared" si="1261"/>
        <v>#NAME?</v>
      </c>
      <c r="V79">
        <f t="shared" si="1251"/>
        <v>76</v>
      </c>
      <c r="W79" t="e">
        <f t="shared" si="1252"/>
        <v>#NAME?</v>
      </c>
      <c r="X79" t="e">
        <f t="shared" si="1253"/>
        <v>#NAME?</v>
      </c>
      <c r="Y79" t="e">
        <f t="shared" si="1254"/>
        <v>#NAME?</v>
      </c>
      <c r="Z79" t="e">
        <f t="shared" si="1249"/>
        <v>#NAME?</v>
      </c>
      <c r="AA79" t="e">
        <f t="shared" si="1255"/>
        <v>#NAME?</v>
      </c>
      <c r="AB79" t="e">
        <f t="shared" si="1256"/>
        <v>#NAME?</v>
      </c>
      <c r="AD79">
        <f t="shared" si="1260"/>
        <v>76</v>
      </c>
      <c r="AE79">
        <f t="shared" si="1257"/>
        <v>8.4487887533605992</v>
      </c>
    </row>
    <row r="80">
      <c r="A80">
        <f t="shared" si="1258"/>
        <v>77</v>
      </c>
      <c r="B80">
        <v>9.3091696279858969</v>
      </c>
      <c r="D80">
        <f t="shared" si="1259"/>
        <v>77</v>
      </c>
      <c r="E80" t="e">
        <f t="shared" si="1250"/>
        <v>#NAME?</v>
      </c>
      <c r="F80" t="e">
        <f t="shared" si="1261"/>
        <v>#NAME?</v>
      </c>
      <c r="V80">
        <f t="shared" si="1251"/>
        <v>77</v>
      </c>
      <c r="W80" t="e">
        <f t="shared" si="1252"/>
        <v>#NAME?</v>
      </c>
      <c r="X80" t="e">
        <f t="shared" si="1253"/>
        <v>#NAME?</v>
      </c>
      <c r="Y80" t="e">
        <f t="shared" si="1254"/>
        <v>#NAME?</v>
      </c>
      <c r="Z80" t="e">
        <f t="shared" si="1249"/>
        <v>#NAME?</v>
      </c>
      <c r="AA80" t="e">
        <f t="shared" si="1255"/>
        <v>#NAME?</v>
      </c>
      <c r="AB80" t="e">
        <f t="shared" si="1256"/>
        <v>#NAME?</v>
      </c>
      <c r="AD80">
        <f t="shared" si="1260"/>
        <v>77</v>
      </c>
      <c r="AE80">
        <f t="shared" si="1257"/>
        <v>9.3091696279859004</v>
      </c>
    </row>
    <row r="81">
      <c r="A81">
        <f t="shared" si="1258"/>
        <v>78</v>
      </c>
      <c r="B81">
        <v>9.6290950722323778</v>
      </c>
      <c r="D81">
        <f t="shared" si="1259"/>
        <v>78</v>
      </c>
      <c r="E81" t="e">
        <f t="shared" si="1250"/>
        <v>#NAME?</v>
      </c>
      <c r="F81" t="e">
        <f t="shared" si="1261"/>
        <v>#NAME?</v>
      </c>
      <c r="V81">
        <f t="shared" si="1251"/>
        <v>78</v>
      </c>
      <c r="W81" t="e">
        <f t="shared" si="1252"/>
        <v>#NAME?</v>
      </c>
      <c r="X81" t="e">
        <f t="shared" si="1253"/>
        <v>#NAME?</v>
      </c>
      <c r="Y81" t="e">
        <f t="shared" si="1254"/>
        <v>#NAME?</v>
      </c>
      <c r="Z81" t="e">
        <f t="shared" si="1249"/>
        <v>#NAME?</v>
      </c>
      <c r="AA81" t="e">
        <f t="shared" si="1255"/>
        <v>#NAME?</v>
      </c>
      <c r="AB81" t="e">
        <f t="shared" si="1256"/>
        <v>#NAME?</v>
      </c>
      <c r="AD81">
        <f t="shared" si="1260"/>
        <v>78</v>
      </c>
      <c r="AE81">
        <f t="shared" si="1257"/>
        <v>9.6290950722323796</v>
      </c>
    </row>
    <row r="82">
      <c r="A82">
        <f t="shared" si="1258"/>
        <v>79</v>
      </c>
      <c r="B82">
        <v>10.498754342121549</v>
      </c>
      <c r="D82">
        <f t="shared" si="1259"/>
        <v>79</v>
      </c>
      <c r="E82" t="e">
        <f t="shared" si="1250"/>
        <v>#NAME?</v>
      </c>
      <c r="F82" t="e">
        <f t="shared" si="1261"/>
        <v>#NAME?</v>
      </c>
      <c r="V82">
        <f t="shared" si="1251"/>
        <v>79</v>
      </c>
      <c r="W82" t="e">
        <f t="shared" si="1252"/>
        <v>#NAME?</v>
      </c>
      <c r="X82" t="e">
        <f t="shared" si="1253"/>
        <v>#NAME?</v>
      </c>
      <c r="Y82" t="e">
        <f t="shared" si="1254"/>
        <v>#NAME?</v>
      </c>
      <c r="Z82" t="e">
        <f t="shared" si="1249"/>
        <v>#NAME?</v>
      </c>
      <c r="AA82" t="e">
        <f t="shared" si="1255"/>
        <v>#NAME?</v>
      </c>
      <c r="AB82" t="e">
        <f t="shared" si="1256"/>
        <v>#NAME?</v>
      </c>
      <c r="AD82">
        <f t="shared" si="1260"/>
        <v>79</v>
      </c>
      <c r="AE82">
        <f t="shared" si="1257"/>
        <v>10.4987543421216</v>
      </c>
    </row>
    <row r="83">
      <c r="A83">
        <f t="shared" si="1258"/>
        <v>80</v>
      </c>
      <c r="B83">
        <v>8.1345560346257617</v>
      </c>
      <c r="D83">
        <f t="shared" si="1259"/>
        <v>80</v>
      </c>
      <c r="E83" t="e">
        <f t="shared" si="1250"/>
        <v>#NAME?</v>
      </c>
      <c r="F83" t="e">
        <f t="shared" si="1261"/>
        <v>#NAME?</v>
      </c>
      <c r="V83">
        <f t="shared" si="1251"/>
        <v>80</v>
      </c>
      <c r="W83" t="e">
        <f t="shared" si="1252"/>
        <v>#NAME?</v>
      </c>
      <c r="X83" t="e">
        <f t="shared" si="1253"/>
        <v>#NAME?</v>
      </c>
      <c r="Y83" t="e">
        <f t="shared" si="1254"/>
        <v>#NAME?</v>
      </c>
      <c r="Z83" t="e">
        <f t="shared" si="1249"/>
        <v>#NAME?</v>
      </c>
      <c r="AA83" t="e">
        <f t="shared" si="1255"/>
        <v>#NAME?</v>
      </c>
      <c r="AB83" t="e">
        <f t="shared" si="1256"/>
        <v>#NAME?</v>
      </c>
      <c r="AD83">
        <f t="shared" si="1260"/>
        <v>80</v>
      </c>
      <c r="AE83">
        <f t="shared" si="1257"/>
        <v>8.1345560346257599</v>
      </c>
    </row>
    <row r="84">
      <c r="A84">
        <f t="shared" si="1258"/>
        <v>81</v>
      </c>
      <c r="B84">
        <v>9.155183562363236</v>
      </c>
      <c r="D84">
        <f t="shared" si="1259"/>
        <v>81</v>
      </c>
      <c r="E84" t="e">
        <f t="shared" si="1250"/>
        <v>#NAME?</v>
      </c>
      <c r="F84" t="e">
        <f t="shared" si="1261"/>
        <v>#NAME?</v>
      </c>
      <c r="V84">
        <f t="shared" si="1251"/>
        <v>81</v>
      </c>
      <c r="W84" t="e">
        <f t="shared" si="1252"/>
        <v>#NAME?</v>
      </c>
      <c r="X84" t="e">
        <f t="shared" si="1253"/>
        <v>#NAME?</v>
      </c>
      <c r="Y84" t="e">
        <f t="shared" si="1254"/>
        <v>#NAME?</v>
      </c>
      <c r="Z84" t="e">
        <f t="shared" si="1249"/>
        <v>#NAME?</v>
      </c>
      <c r="AA84" t="e">
        <f t="shared" si="1255"/>
        <v>#NAME?</v>
      </c>
      <c r="AB84" t="e">
        <f t="shared" si="1256"/>
        <v>#NAME?</v>
      </c>
      <c r="AD84">
        <f t="shared" si="1260"/>
        <v>81</v>
      </c>
      <c r="AE84">
        <f t="shared" si="1257"/>
        <v>9.1551835623632396</v>
      </c>
    </row>
    <row r="85">
      <c r="A85">
        <f t="shared" si="1258"/>
        <v>82</v>
      </c>
      <c r="B85">
        <v>7.9920854400738497</v>
      </c>
      <c r="D85">
        <f t="shared" si="1259"/>
        <v>82</v>
      </c>
      <c r="E85" t="e">
        <f t="shared" si="1250"/>
        <v>#NAME?</v>
      </c>
      <c r="F85" t="e">
        <f t="shared" si="1261"/>
        <v>#NAME?</v>
      </c>
      <c r="V85">
        <f t="shared" si="1251"/>
        <v>82</v>
      </c>
      <c r="W85" t="e">
        <f t="shared" si="1252"/>
        <v>#NAME?</v>
      </c>
      <c r="X85" t="e">
        <f t="shared" si="1253"/>
        <v>#NAME?</v>
      </c>
      <c r="Y85" t="e">
        <f t="shared" si="1254"/>
        <v>#NAME?</v>
      </c>
      <c r="Z85" t="e">
        <f t="shared" si="1249"/>
        <v>#NAME?</v>
      </c>
      <c r="AA85" t="e">
        <f t="shared" si="1255"/>
        <v>#NAME?</v>
      </c>
      <c r="AB85" t="e">
        <f t="shared" si="1256"/>
        <v>#NAME?</v>
      </c>
      <c r="AD85">
        <f t="shared" si="1260"/>
        <v>82</v>
      </c>
      <c r="AE85">
        <f t="shared" si="1257"/>
        <v>7.9920854400738497</v>
      </c>
    </row>
    <row r="86">
      <c r="A86">
        <f t="shared" si="1258"/>
        <v>83</v>
      </c>
      <c r="B86">
        <v>10.439526996669359</v>
      </c>
      <c r="D86">
        <f t="shared" si="1259"/>
        <v>83</v>
      </c>
      <c r="E86" t="e">
        <f t="shared" si="1250"/>
        <v>#NAME?</v>
      </c>
      <c r="F86" t="e">
        <f t="shared" si="1261"/>
        <v>#NAME?</v>
      </c>
      <c r="V86">
        <f t="shared" si="1251"/>
        <v>83</v>
      </c>
      <c r="W86" t="e">
        <f t="shared" si="1252"/>
        <v>#NAME?</v>
      </c>
      <c r="X86" t="e">
        <f t="shared" si="1253"/>
        <v>#NAME?</v>
      </c>
      <c r="Y86" t="e">
        <f t="shared" si="1254"/>
        <v>#NAME?</v>
      </c>
      <c r="Z86" t="e">
        <f t="shared" si="1249"/>
        <v>#NAME?</v>
      </c>
      <c r="AA86" t="e">
        <f t="shared" si="1255"/>
        <v>#NAME?</v>
      </c>
      <c r="AB86" t="e">
        <f t="shared" si="1256"/>
        <v>#NAME?</v>
      </c>
      <c r="AD86">
        <f t="shared" si="1260"/>
        <v>83</v>
      </c>
      <c r="AE86">
        <f t="shared" si="1257"/>
        <v>10.4395269966694</v>
      </c>
    </row>
    <row r="87">
      <c r="A87">
        <f t="shared" si="1258"/>
        <v>84</v>
      </c>
      <c r="B87">
        <v>11.175252728421924</v>
      </c>
      <c r="D87">
        <f t="shared" si="1259"/>
        <v>84</v>
      </c>
      <c r="E87" t="e">
        <f t="shared" si="1250"/>
        <v>#NAME?</v>
      </c>
      <c r="F87" t="e">
        <f t="shared" si="1261"/>
        <v>#NAME?</v>
      </c>
      <c r="V87">
        <f t="shared" si="1251"/>
        <v>84</v>
      </c>
      <c r="W87" t="e">
        <f t="shared" si="1252"/>
        <v>#NAME?</v>
      </c>
      <c r="X87" t="e">
        <f t="shared" si="1253"/>
        <v>#NAME?</v>
      </c>
      <c r="Y87" t="e">
        <f t="shared" si="1254"/>
        <v>#NAME?</v>
      </c>
      <c r="Z87" t="e">
        <f t="shared" si="1249"/>
        <v>#NAME?</v>
      </c>
      <c r="AA87" t="e">
        <f t="shared" si="1255"/>
        <v>#NAME?</v>
      </c>
      <c r="AB87" t="e">
        <f t="shared" si="1256"/>
        <v>#NAME?</v>
      </c>
      <c r="AD87">
        <f t="shared" si="1260"/>
        <v>84</v>
      </c>
      <c r="AE87">
        <f t="shared" si="1257"/>
        <v>11.175252728421899</v>
      </c>
    </row>
    <row r="88">
      <c r="A88">
        <f t="shared" si="1258"/>
        <v>85</v>
      </c>
      <c r="B88">
        <v>9.9215034890634719</v>
      </c>
      <c r="D88">
        <f t="shared" si="1259"/>
        <v>85</v>
      </c>
      <c r="E88" t="e">
        <f t="shared" si="1250"/>
        <v>#NAME?</v>
      </c>
      <c r="F88" t="e">
        <f t="shared" si="1261"/>
        <v>#NAME?</v>
      </c>
      <c r="V88">
        <f t="shared" si="1251"/>
        <v>85</v>
      </c>
      <c r="W88" t="e">
        <f t="shared" si="1252"/>
        <v>#NAME?</v>
      </c>
      <c r="X88" t="e">
        <f t="shared" si="1253"/>
        <v>#NAME?</v>
      </c>
      <c r="Y88" t="e">
        <f t="shared" si="1254"/>
        <v>#NAME?</v>
      </c>
      <c r="Z88" t="e">
        <f t="shared" si="1249"/>
        <v>#NAME?</v>
      </c>
      <c r="AA88" t="e">
        <f t="shared" si="1255"/>
        <v>#NAME?</v>
      </c>
      <c r="AB88" t="e">
        <f t="shared" si="1256"/>
        <v>#NAME?</v>
      </c>
      <c r="AD88">
        <f t="shared" si="1260"/>
        <v>85</v>
      </c>
      <c r="AE88">
        <f t="shared" si="1257"/>
        <v>9.9215034890634701</v>
      </c>
    </row>
    <row r="89">
      <c r="A89">
        <f t="shared" si="1258"/>
        <v>86</v>
      </c>
      <c r="B89">
        <v>10.653018863925139</v>
      </c>
      <c r="D89">
        <f t="shared" si="1259"/>
        <v>86</v>
      </c>
      <c r="E89" t="e">
        <f t="shared" si="1250"/>
        <v>#NAME?</v>
      </c>
      <c r="F89" t="e">
        <f t="shared" si="1261"/>
        <v>#NAME?</v>
      </c>
      <c r="V89">
        <f t="shared" si="1251"/>
        <v>86</v>
      </c>
      <c r="W89" t="e">
        <f t="shared" si="1252"/>
        <v>#NAME?</v>
      </c>
      <c r="X89" t="e">
        <f t="shared" si="1253"/>
        <v>#NAME?</v>
      </c>
      <c r="Y89" t="e">
        <f t="shared" si="1254"/>
        <v>#NAME?</v>
      </c>
      <c r="Z89" t="e">
        <f t="shared" si="1249"/>
        <v>#NAME?</v>
      </c>
      <c r="AA89" t="e">
        <f t="shared" si="1255"/>
        <v>#NAME?</v>
      </c>
      <c r="AB89" t="e">
        <f t="shared" si="1256"/>
        <v>#NAME?</v>
      </c>
      <c r="AD89">
        <f t="shared" si="1260"/>
        <v>86</v>
      </c>
      <c r="AE89">
        <f t="shared" si="1257"/>
        <v>10.6530188639251</v>
      </c>
    </row>
    <row r="90">
      <c r="A90">
        <f t="shared" si="1258"/>
        <v>87</v>
      </c>
      <c r="B90">
        <v>10.300965035959743</v>
      </c>
      <c r="D90">
        <f t="shared" si="1259"/>
        <v>87</v>
      </c>
      <c r="E90" t="e">
        <f t="shared" si="1250"/>
        <v>#NAME?</v>
      </c>
      <c r="F90" t="e">
        <f t="shared" si="1261"/>
        <v>#NAME?</v>
      </c>
      <c r="V90">
        <f t="shared" si="1251"/>
        <v>87</v>
      </c>
      <c r="W90" t="e">
        <f t="shared" si="1252"/>
        <v>#NAME?</v>
      </c>
      <c r="X90" t="e">
        <f t="shared" si="1253"/>
        <v>#NAME?</v>
      </c>
      <c r="Y90" t="e">
        <f t="shared" si="1254"/>
        <v>#NAME?</v>
      </c>
      <c r="Z90" t="e">
        <f t="shared" si="1249"/>
        <v>#NAME?</v>
      </c>
      <c r="AA90" t="e">
        <f t="shared" si="1255"/>
        <v>#NAME?</v>
      </c>
      <c r="AB90" t="e">
        <f t="shared" si="1256"/>
        <v>#NAME?</v>
      </c>
      <c r="AD90">
        <f t="shared" si="1260"/>
        <v>87</v>
      </c>
      <c r="AE90">
        <f t="shared" si="1257"/>
        <v>10.300965035959701</v>
      </c>
    </row>
    <row r="91">
      <c r="A91">
        <f t="shared" si="1258"/>
        <v>88</v>
      </c>
      <c r="B91">
        <v>9.322711642040451</v>
      </c>
      <c r="D91">
        <f t="shared" si="1259"/>
        <v>88</v>
      </c>
      <c r="E91" t="e">
        <f t="shared" si="1250"/>
        <v>#NAME?</v>
      </c>
      <c r="F91" t="e">
        <f t="shared" si="1261"/>
        <v>#NAME?</v>
      </c>
      <c r="V91">
        <f t="shared" si="1251"/>
        <v>88</v>
      </c>
      <c r="W91" t="e">
        <f t="shared" si="1252"/>
        <v>#NAME?</v>
      </c>
      <c r="X91" t="e">
        <f t="shared" si="1253"/>
        <v>#NAME?</v>
      </c>
      <c r="Y91" t="e">
        <f t="shared" si="1254"/>
        <v>#NAME?</v>
      </c>
      <c r="Z91" t="e">
        <f t="shared" si="1249"/>
        <v>#NAME?</v>
      </c>
      <c r="AA91" t="e">
        <f t="shared" si="1255"/>
        <v>#NAME?</v>
      </c>
      <c r="AB91" t="e">
        <f t="shared" si="1256"/>
        <v>#NAME?</v>
      </c>
      <c r="AD91">
        <f t="shared" si="1260"/>
        <v>88</v>
      </c>
      <c r="AE91">
        <f t="shared" si="1257"/>
        <v>9.3227116420404492</v>
      </c>
    </row>
    <row r="92">
      <c r="A92">
        <f t="shared" si="1258"/>
        <v>89</v>
      </c>
      <c r="B92">
        <v>11.208496897982</v>
      </c>
      <c r="D92">
        <f t="shared" si="1259"/>
        <v>89</v>
      </c>
      <c r="E92" t="e">
        <f t="shared" si="1250"/>
        <v>#NAME?</v>
      </c>
      <c r="F92" t="e">
        <f t="shared" si="1261"/>
        <v>#NAME?</v>
      </c>
      <c r="V92">
        <f t="shared" si="1251"/>
        <v>89</v>
      </c>
      <c r="W92" t="e">
        <f t="shared" si="1252"/>
        <v>#NAME?</v>
      </c>
      <c r="X92" t="e">
        <f t="shared" si="1253"/>
        <v>#NAME?</v>
      </c>
      <c r="Y92" t="e">
        <f t="shared" si="1254"/>
        <v>#NAME?</v>
      </c>
      <c r="Z92" t="e">
        <f t="shared" si="1249"/>
        <v>#NAME?</v>
      </c>
      <c r="AA92" t="e">
        <f t="shared" si="1255"/>
        <v>#NAME?</v>
      </c>
      <c r="AB92" t="e">
        <f t="shared" si="1256"/>
        <v>#NAME?</v>
      </c>
      <c r="AD92">
        <f t="shared" si="1260"/>
        <v>89</v>
      </c>
      <c r="AE92">
        <f t="shared" si="1257"/>
        <v>11.208496897982</v>
      </c>
    </row>
    <row r="93">
      <c r="A93">
        <f t="shared" si="1258"/>
        <v>90</v>
      </c>
      <c r="B93">
        <v>9.8337122512150561</v>
      </c>
      <c r="D93">
        <f t="shared" si="1259"/>
        <v>90</v>
      </c>
      <c r="E93" t="e">
        <f t="shared" si="1250"/>
        <v>#NAME?</v>
      </c>
      <c r="F93" t="e">
        <f t="shared" si="1261"/>
        <v>#NAME?</v>
      </c>
      <c r="V93">
        <f t="shared" si="1251"/>
        <v>90</v>
      </c>
      <c r="W93" t="e">
        <f t="shared" si="1252"/>
        <v>#NAME?</v>
      </c>
      <c r="X93" t="e">
        <f t="shared" si="1253"/>
        <v>#NAME?</v>
      </c>
      <c r="Y93" t="e">
        <f t="shared" si="1254"/>
        <v>#NAME?</v>
      </c>
      <c r="Z93" t="e">
        <f t="shared" si="1249"/>
        <v>#NAME?</v>
      </c>
      <c r="AA93" t="e">
        <f t="shared" si="1255"/>
        <v>#NAME?</v>
      </c>
      <c r="AB93" t="e">
        <f t="shared" si="1256"/>
        <v>#NAME?</v>
      </c>
      <c r="AD93">
        <f t="shared" si="1260"/>
        <v>90</v>
      </c>
      <c r="AE93">
        <f t="shared" si="1257"/>
        <v>9.8337122512150597</v>
      </c>
    </row>
    <row r="94">
      <c r="A94">
        <f t="shared" si="1258"/>
        <v>91</v>
      </c>
      <c r="B94">
        <v>11.009228904367124</v>
      </c>
      <c r="D94">
        <f t="shared" si="1259"/>
        <v>91</v>
      </c>
      <c r="E94" t="e">
        <f t="shared" si="1250"/>
        <v>#NAME?</v>
      </c>
      <c r="F94" t="e">
        <f t="shared" si="1261"/>
        <v>#NAME?</v>
      </c>
      <c r="V94">
        <f t="shared" si="1251"/>
        <v>91</v>
      </c>
      <c r="W94" t="e">
        <f t="shared" si="1252"/>
        <v>#NAME?</v>
      </c>
      <c r="X94" t="e">
        <f t="shared" si="1253"/>
        <v>#NAME?</v>
      </c>
      <c r="Y94" t="e">
        <f t="shared" si="1254"/>
        <v>#NAME?</v>
      </c>
      <c r="Z94" t="e">
        <f t="shared" si="1249"/>
        <v>#NAME?</v>
      </c>
      <c r="AA94" t="e">
        <f t="shared" si="1255"/>
        <v>#NAME?</v>
      </c>
      <c r="AB94" t="e">
        <f t="shared" si="1256"/>
        <v>#NAME?</v>
      </c>
      <c r="AD94">
        <f t="shared" si="1260"/>
        <v>91</v>
      </c>
      <c r="AE94">
        <f t="shared" si="1257"/>
        <v>11.009228904367101</v>
      </c>
    </row>
    <row r="95">
      <c r="A95">
        <f t="shared" si="1258"/>
        <v>92</v>
      </c>
      <c r="B95">
        <v>9.672211664259164</v>
      </c>
      <c r="D95">
        <f t="shared" si="1259"/>
        <v>92</v>
      </c>
      <c r="E95" t="e">
        <f t="shared" si="1250"/>
        <v>#NAME?</v>
      </c>
      <c r="F95" t="e">
        <f t="shared" si="1261"/>
        <v>#NAME?</v>
      </c>
      <c r="V95">
        <f t="shared" si="1251"/>
        <v>92</v>
      </c>
      <c r="W95" t="e">
        <f t="shared" si="1252"/>
        <v>#NAME?</v>
      </c>
      <c r="X95" t="e">
        <f t="shared" si="1253"/>
        <v>#NAME?</v>
      </c>
      <c r="Y95" t="e">
        <f t="shared" si="1254"/>
        <v>#NAME?</v>
      </c>
      <c r="Z95" t="e">
        <f t="shared" si="1249"/>
        <v>#NAME?</v>
      </c>
      <c r="AA95" t="e">
        <f t="shared" si="1255"/>
        <v>#NAME?</v>
      </c>
      <c r="AB95" t="e">
        <f t="shared" si="1256"/>
        <v>#NAME?</v>
      </c>
      <c r="AD95">
        <f t="shared" si="1260"/>
        <v>92</v>
      </c>
      <c r="AE95">
        <f t="shared" si="1257"/>
        <v>9.6722116642591693</v>
      </c>
    </row>
    <row r="96">
      <c r="A96">
        <f t="shared" si="1258"/>
        <v>93</v>
      </c>
      <c r="B96">
        <v>8.0220551654262664</v>
      </c>
      <c r="D96">
        <f t="shared" si="1259"/>
        <v>93</v>
      </c>
      <c r="E96" t="e">
        <f t="shared" si="1250"/>
        <v>#NAME?</v>
      </c>
      <c r="F96" t="e">
        <f t="shared" si="1261"/>
        <v>#NAME?</v>
      </c>
      <c r="V96">
        <f t="shared" si="1251"/>
        <v>93</v>
      </c>
      <c r="W96" t="e">
        <f t="shared" si="1252"/>
        <v>#NAME?</v>
      </c>
      <c r="X96" t="e">
        <f t="shared" si="1253"/>
        <v>#NAME?</v>
      </c>
      <c r="Y96" t="e">
        <f t="shared" si="1254"/>
        <v>#NAME?</v>
      </c>
      <c r="Z96" t="e">
        <f t="shared" si="1249"/>
        <v>#NAME?</v>
      </c>
      <c r="AA96" t="e">
        <f t="shared" si="1255"/>
        <v>#NAME?</v>
      </c>
      <c r="AB96" t="e">
        <f t="shared" si="1256"/>
        <v>#NAME?</v>
      </c>
      <c r="AD96">
        <f t="shared" si="1260"/>
        <v>93</v>
      </c>
      <c r="AE96">
        <f t="shared" si="1257"/>
        <v>8.02205516542627</v>
      </c>
    </row>
    <row r="97">
      <c r="A97">
        <f t="shared" si="1258"/>
        <v>94</v>
      </c>
      <c r="B97">
        <v>9.1001604867082797</v>
      </c>
      <c r="D97">
        <f t="shared" si="1259"/>
        <v>94</v>
      </c>
      <c r="E97" t="e">
        <f t="shared" si="1250"/>
        <v>#NAME?</v>
      </c>
      <c r="F97" t="e">
        <f t="shared" si="1261"/>
        <v>#NAME?</v>
      </c>
      <c r="V97">
        <f t="shared" si="1251"/>
        <v>94</v>
      </c>
      <c r="W97" t="e">
        <f t="shared" si="1252"/>
        <v>#NAME?</v>
      </c>
      <c r="X97" t="e">
        <f t="shared" si="1253"/>
        <v>#NAME?</v>
      </c>
      <c r="Y97" t="e">
        <f t="shared" si="1254"/>
        <v>#NAME?</v>
      </c>
      <c r="Z97" t="e">
        <f t="shared" si="1249"/>
        <v>#NAME?</v>
      </c>
      <c r="AA97" t="e">
        <f t="shared" si="1255"/>
        <v>#NAME?</v>
      </c>
      <c r="AB97" t="e">
        <f t="shared" si="1256"/>
        <v>#NAME?</v>
      </c>
      <c r="AD97">
        <f t="shared" si="1260"/>
        <v>94</v>
      </c>
      <c r="AE97">
        <f t="shared" si="1257"/>
        <v>9.1001604867082797</v>
      </c>
    </row>
    <row r="98">
      <c r="A98">
        <f t="shared" si="1258"/>
        <v>95</v>
      </c>
      <c r="B98">
        <v>10.293563569831946</v>
      </c>
      <c r="D98">
        <f t="shared" si="1259"/>
        <v>95</v>
      </c>
      <c r="E98" t="e">
        <f t="shared" si="1250"/>
        <v>#NAME?</v>
      </c>
      <c r="F98" t="e">
        <f t="shared" si="1261"/>
        <v>#NAME?</v>
      </c>
      <c r="V98">
        <f t="shared" si="1251"/>
        <v>95</v>
      </c>
      <c r="W98" t="e">
        <f t="shared" si="1252"/>
        <v>#NAME?</v>
      </c>
      <c r="X98" t="e">
        <f t="shared" si="1253"/>
        <v>#NAME?</v>
      </c>
      <c r="Y98" t="e">
        <f t="shared" si="1254"/>
        <v>#NAME?</v>
      </c>
      <c r="Z98" t="e">
        <f t="shared" si="1249"/>
        <v>#NAME?</v>
      </c>
      <c r="AA98" t="e">
        <f t="shared" si="1255"/>
        <v>#NAME?</v>
      </c>
      <c r="AB98" t="e">
        <f t="shared" si="1256"/>
        <v>#NAME?</v>
      </c>
      <c r="AD98">
        <f t="shared" si="1260"/>
        <v>95</v>
      </c>
      <c r="AE98">
        <f t="shared" si="1257"/>
        <v>10.2935635698319</v>
      </c>
    </row>
    <row r="99">
      <c r="A99">
        <f t="shared" si="1258"/>
        <v>96</v>
      </c>
      <c r="B99">
        <v>10.874137892356456</v>
      </c>
      <c r="D99">
        <f t="shared" si="1259"/>
        <v>96</v>
      </c>
      <c r="E99" t="e">
        <f t="shared" si="1250"/>
        <v>#NAME?</v>
      </c>
      <c r="F99" t="e">
        <f t="shared" si="1261"/>
        <v>#NAME?</v>
      </c>
      <c r="V99">
        <f t="shared" si="1251"/>
        <v>96</v>
      </c>
      <c r="W99" t="e">
        <f t="shared" si="1252"/>
        <v>#NAME?</v>
      </c>
      <c r="X99" t="e">
        <f t="shared" si="1253"/>
        <v>#NAME?</v>
      </c>
      <c r="Y99" t="e">
        <f t="shared" si="1254"/>
        <v>#NAME?</v>
      </c>
      <c r="Z99" t="e">
        <f t="shared" si="1249"/>
        <v>#NAME?</v>
      </c>
      <c r="AA99" t="e">
        <f t="shared" si="1255"/>
        <v>#NAME?</v>
      </c>
      <c r="AB99" t="e">
        <f t="shared" si="1256"/>
        <v>#NAME?</v>
      </c>
      <c r="AD99">
        <f t="shared" si="1260"/>
        <v>96</v>
      </c>
      <c r="AE99">
        <f t="shared" si="1257"/>
        <v>10.874137892356501</v>
      </c>
    </row>
    <row r="100">
      <c r="A100">
        <f t="shared" si="1258"/>
        <v>97</v>
      </c>
      <c r="B100">
        <v>11.048588930382072</v>
      </c>
      <c r="D100">
        <f t="shared" si="1259"/>
        <v>97</v>
      </c>
      <c r="E100" t="e">
        <f t="shared" ref="E100:E108" si="1262">B100-J$6</f>
        <v>#NAME?</v>
      </c>
      <c r="F100" t="e">
        <f>E100-SUMPRODUCT(E98:E99,I$4:I$5)-SUMPRODUCT(F98:F99,J$4:J$5)</f>
        <v>#NAME?</v>
      </c>
      <c r="V100">
        <f t="shared" ref="V100:V108" si="1263">D100</f>
        <v>97</v>
      </c>
      <c r="W100" t="e">
        <f t="shared" ref="W100:W108" si="1264">E100</f>
        <v>#NAME?</v>
      </c>
      <c r="X100" t="e">
        <f t="shared" ref="X100:X108" si="1265">F100</f>
        <v>#NAME?</v>
      </c>
      <c r="Y100" t="e">
        <f t="shared" ref="Y100:Y108" si="1266">W100-X100</f>
        <v>#NAME?</v>
      </c>
      <c r="Z100" t="e">
        <f t="shared" si="1249"/>
        <v>#NAME?</v>
      </c>
      <c r="AA100" t="e">
        <f t="shared" ref="AA100:AA113" si="1267">Y100-NORMSINV(1-Z$2/2)*Z100</f>
        <v>#NAME?</v>
      </c>
      <c r="AB100" t="e">
        <f t="shared" ref="AB100:AB113" si="1268">Y100+NORMSINV(1-Z$2/2)*Z100</f>
        <v>#NAME?</v>
      </c>
      <c r="AD100">
        <f t="shared" si="1260"/>
        <v>97</v>
      </c>
      <c r="AE100">
        <f t="shared" ref="AE100:AE108" si="1269">B100</f>
        <v>11.048588930382101</v>
      </c>
    </row>
    <row r="101">
      <c r="A101">
        <f t="shared" ref="A101:A108" si="1270">A100+1</f>
        <v>98</v>
      </c>
      <c r="B101">
        <v>10.377103608405848</v>
      </c>
      <c r="D101">
        <f t="shared" ref="D101:D108" si="1271">D100+1</f>
        <v>98</v>
      </c>
      <c r="E101" t="e">
        <f t="shared" si="1262"/>
        <v>#NAME?</v>
      </c>
      <c r="F101" t="e">
        <f>E101-SUMPRODUCT(E99:E100,I$4:I$5)-SUMPRODUCT(F99:F100,J$4:J$5)</f>
        <v>#NAME?</v>
      </c>
      <c r="V101">
        <f t="shared" si="1263"/>
        <v>98</v>
      </c>
      <c r="W101" t="e">
        <f t="shared" si="1264"/>
        <v>#NAME?</v>
      </c>
      <c r="X101" t="e">
        <f t="shared" si="1265"/>
        <v>#NAME?</v>
      </c>
      <c r="Y101" t="e">
        <f t="shared" si="1266"/>
        <v>#NAME?</v>
      </c>
      <c r="Z101" t="e">
        <f t="shared" si="1249"/>
        <v>#NAME?</v>
      </c>
      <c r="AA101" t="e">
        <f t="shared" si="1267"/>
        <v>#NAME?</v>
      </c>
      <c r="AB101" t="e">
        <f t="shared" si="1268"/>
        <v>#NAME?</v>
      </c>
      <c r="AD101">
        <f t="shared" ref="AD101:AD113" si="1272">AD100+1</f>
        <v>98</v>
      </c>
      <c r="AE101">
        <f t="shared" si="1269"/>
        <v>10.3771036084059</v>
      </c>
    </row>
    <row r="102">
      <c r="A102">
        <f t="shared" si="1270"/>
        <v>99</v>
      </c>
      <c r="B102">
        <v>11.100733406475408</v>
      </c>
      <c r="D102">
        <f t="shared" si="1271"/>
        <v>99</v>
      </c>
      <c r="E102" t="e">
        <f t="shared" si="1262"/>
        <v>#NAME?</v>
      </c>
      <c r="F102" t="e">
        <f t="shared" ref="F102:F108" si="1273">E102-SUMPRODUCT(E100:E101,I$4:I$5)-SUMPRODUCT(F100:F101,J$4:J$5)</f>
        <v>#NAME?</v>
      </c>
      <c r="V102">
        <f t="shared" si="1263"/>
        <v>99</v>
      </c>
      <c r="W102" t="e">
        <f t="shared" si="1264"/>
        <v>#NAME?</v>
      </c>
      <c r="X102" t="e">
        <f t="shared" si="1265"/>
        <v>#NAME?</v>
      </c>
      <c r="Y102" t="e">
        <f t="shared" si="1266"/>
        <v>#NAME?</v>
      </c>
      <c r="Z102" t="e">
        <f t="shared" si="1249"/>
        <v>#NAME?</v>
      </c>
      <c r="AA102" t="e">
        <f t="shared" si="1267"/>
        <v>#NAME?</v>
      </c>
      <c r="AB102" t="e">
        <f t="shared" si="1268"/>
        <v>#NAME?</v>
      </c>
      <c r="AD102">
        <f t="shared" si="1272"/>
        <v>99</v>
      </c>
      <c r="AE102">
        <f t="shared" si="1269"/>
        <v>11.100733406475401</v>
      </c>
    </row>
    <row r="103">
      <c r="A103">
        <f t="shared" si="1270"/>
        <v>100</v>
      </c>
      <c r="B103">
        <v>9.5564566897714425</v>
      </c>
      <c r="D103">
        <f t="shared" si="1271"/>
        <v>100</v>
      </c>
      <c r="E103" t="e">
        <f t="shared" si="1262"/>
        <v>#NAME?</v>
      </c>
      <c r="F103" t="e">
        <f t="shared" si="1273"/>
        <v>#NAME?</v>
      </c>
      <c r="V103">
        <f t="shared" si="1263"/>
        <v>100</v>
      </c>
      <c r="W103" t="e">
        <f t="shared" si="1264"/>
        <v>#NAME?</v>
      </c>
      <c r="X103" t="e">
        <f t="shared" si="1265"/>
        <v>#NAME?</v>
      </c>
      <c r="Y103" t="e">
        <f t="shared" si="1266"/>
        <v>#NAME?</v>
      </c>
      <c r="Z103" t="e">
        <f t="shared" si="1249"/>
        <v>#NAME?</v>
      </c>
      <c r="AA103" t="e">
        <f t="shared" si="1267"/>
        <v>#NAME?</v>
      </c>
      <c r="AB103" t="e">
        <f t="shared" si="1268"/>
        <v>#NAME?</v>
      </c>
      <c r="AD103">
        <f t="shared" si="1272"/>
        <v>100</v>
      </c>
      <c r="AE103">
        <f t="shared" si="1269"/>
        <v>9.5564566897714407</v>
      </c>
    </row>
    <row r="104">
      <c r="A104">
        <f t="shared" si="1270"/>
        <v>101</v>
      </c>
      <c r="B104">
        <v>10.126612012197912</v>
      </c>
      <c r="D104">
        <f t="shared" si="1271"/>
        <v>101</v>
      </c>
      <c r="E104" t="e">
        <f t="shared" si="1262"/>
        <v>#NAME?</v>
      </c>
      <c r="F104" t="e">
        <f t="shared" si="1273"/>
        <v>#NAME?</v>
      </c>
      <c r="V104">
        <f t="shared" si="1263"/>
        <v>101</v>
      </c>
      <c r="W104" t="e">
        <f t="shared" si="1264"/>
        <v>#NAME?</v>
      </c>
      <c r="X104" t="e">
        <f t="shared" si="1265"/>
        <v>#NAME?</v>
      </c>
      <c r="Y104" t="e">
        <f t="shared" si="1266"/>
        <v>#NAME?</v>
      </c>
      <c r="Z104" t="e">
        <f t="shared" si="1249"/>
        <v>#NAME?</v>
      </c>
      <c r="AA104" t="e">
        <f t="shared" si="1267"/>
        <v>#NAME?</v>
      </c>
      <c r="AB104" t="e">
        <f t="shared" si="1268"/>
        <v>#NAME?</v>
      </c>
      <c r="AD104">
        <f t="shared" si="1272"/>
        <v>101</v>
      </c>
      <c r="AE104">
        <f t="shared" si="1269"/>
        <v>10.126612012197899</v>
      </c>
    </row>
    <row r="105">
      <c r="A105">
        <f t="shared" si="1270"/>
        <v>102</v>
      </c>
      <c r="B105">
        <v>10.618656799718755</v>
      </c>
      <c r="D105">
        <f t="shared" si="1271"/>
        <v>102</v>
      </c>
      <c r="E105" t="e">
        <f t="shared" si="1262"/>
        <v>#NAME?</v>
      </c>
      <c r="F105" t="e">
        <f t="shared" si="1273"/>
        <v>#NAME?</v>
      </c>
      <c r="V105">
        <f t="shared" si="1263"/>
        <v>102</v>
      </c>
      <c r="W105" t="e">
        <f t="shared" si="1264"/>
        <v>#NAME?</v>
      </c>
      <c r="X105" t="e">
        <f t="shared" si="1265"/>
        <v>#NAME?</v>
      </c>
      <c r="Y105" t="e">
        <f t="shared" si="1266"/>
        <v>#NAME?</v>
      </c>
      <c r="Z105" t="e">
        <f t="shared" si="1249"/>
        <v>#NAME?</v>
      </c>
      <c r="AA105" t="e">
        <f t="shared" si="1267"/>
        <v>#NAME?</v>
      </c>
      <c r="AB105" t="e">
        <f t="shared" si="1268"/>
        <v>#NAME?</v>
      </c>
      <c r="AD105">
        <f t="shared" si="1272"/>
        <v>102</v>
      </c>
      <c r="AE105">
        <f t="shared" si="1269"/>
        <v>10.618656799718799</v>
      </c>
    </row>
    <row r="106">
      <c r="A106">
        <f t="shared" si="1270"/>
        <v>103</v>
      </c>
      <c r="B106">
        <v>11.369377647513677</v>
      </c>
      <c r="D106">
        <f t="shared" si="1271"/>
        <v>103</v>
      </c>
      <c r="E106" t="e">
        <f t="shared" si="1262"/>
        <v>#NAME?</v>
      </c>
      <c r="F106" t="e">
        <f t="shared" si="1273"/>
        <v>#NAME?</v>
      </c>
      <c r="V106">
        <f t="shared" si="1263"/>
        <v>103</v>
      </c>
      <c r="W106" t="e">
        <f t="shared" si="1264"/>
        <v>#NAME?</v>
      </c>
      <c r="X106" t="e">
        <f t="shared" si="1265"/>
        <v>#NAME?</v>
      </c>
      <c r="Y106" t="e">
        <f t="shared" si="1266"/>
        <v>#NAME?</v>
      </c>
      <c r="Z106" t="e">
        <f t="shared" si="1249"/>
        <v>#NAME?</v>
      </c>
      <c r="AA106" t="e">
        <f t="shared" si="1267"/>
        <v>#NAME?</v>
      </c>
      <c r="AB106" t="e">
        <f t="shared" si="1268"/>
        <v>#NAME?</v>
      </c>
      <c r="AD106">
        <f t="shared" si="1272"/>
        <v>103</v>
      </c>
      <c r="AE106">
        <f t="shared" si="1269"/>
        <v>11.3693776475137</v>
      </c>
    </row>
    <row r="107">
      <c r="A107">
        <f t="shared" si="1270"/>
        <v>104</v>
      </c>
      <c r="B107">
        <v>10.761442220235375</v>
      </c>
      <c r="D107">
        <f t="shared" si="1271"/>
        <v>104</v>
      </c>
      <c r="E107" t="e">
        <f t="shared" si="1262"/>
        <v>#NAME?</v>
      </c>
      <c r="F107" t="e">
        <f t="shared" si="1273"/>
        <v>#NAME?</v>
      </c>
      <c r="V107">
        <f t="shared" si="1263"/>
        <v>104</v>
      </c>
      <c r="W107" t="e">
        <f t="shared" si="1264"/>
        <v>#NAME?</v>
      </c>
      <c r="X107" t="e">
        <f t="shared" si="1265"/>
        <v>#NAME?</v>
      </c>
      <c r="Y107" t="e">
        <f t="shared" si="1266"/>
        <v>#NAME?</v>
      </c>
      <c r="Z107" t="e">
        <f t="shared" si="1249"/>
        <v>#NAME?</v>
      </c>
      <c r="AA107" t="e">
        <f t="shared" si="1267"/>
        <v>#NAME?</v>
      </c>
      <c r="AB107" t="e">
        <f t="shared" si="1268"/>
        <v>#NAME?</v>
      </c>
      <c r="AD107">
        <f t="shared" si="1272"/>
        <v>104</v>
      </c>
      <c r="AE107">
        <f t="shared" si="1269"/>
        <v>10.7614422202354</v>
      </c>
    </row>
    <row r="108">
      <c r="A108">
        <f t="shared" si="1270"/>
        <v>105</v>
      </c>
      <c r="B108" s="14">
        <v>11.954765055482961</v>
      </c>
      <c r="D108" s="14">
        <f t="shared" si="1271"/>
        <v>105</v>
      </c>
      <c r="E108" s="14" t="e">
        <f t="shared" si="1262"/>
        <v>#NAME?</v>
      </c>
      <c r="F108" s="14" t="e">
        <f t="shared" si="1273"/>
        <v>#NAME?</v>
      </c>
      <c r="V108">
        <f t="shared" si="1263"/>
        <v>105</v>
      </c>
      <c r="W108" t="e">
        <f t="shared" si="1264"/>
        <v>#NAME?</v>
      </c>
      <c r="X108" t="e">
        <f t="shared" si="1265"/>
        <v>#NAME?</v>
      </c>
      <c r="Y108" t="e">
        <f t="shared" si="1266"/>
        <v>#NAME?</v>
      </c>
      <c r="Z108" t="e">
        <f t="shared" si="1249"/>
        <v>#NAME?</v>
      </c>
      <c r="AA108" t="e">
        <f t="shared" si="1267"/>
        <v>#NAME?</v>
      </c>
      <c r="AB108" t="e">
        <f t="shared" si="1268"/>
        <v>#NAME?</v>
      </c>
      <c r="AD108" s="14">
        <f t="shared" si="1272"/>
        <v>105</v>
      </c>
      <c r="AE108" s="14">
        <f t="shared" si="1269"/>
        <v>11.954765055483</v>
      </c>
    </row>
    <row r="109">
      <c r="V109">
        <f t="shared" ref="V109:V113" si="1274">V108+1</f>
        <v>106</v>
      </c>
      <c r="Y109" t="e">
        <f>SUMPRODUCT(W107:W108,I$4:I$5)+SUMPRODUCT(X107:X108,J$4:J$5)</f>
        <v>#NAME?</v>
      </c>
      <c r="Z109" t="e">
        <f t="shared" ref="Z109:Z113" si="1275">J$15*SQRT(SUMSQ(M$16:M16))</f>
        <v>#NAME?</v>
      </c>
      <c r="AA109" t="e">
        <f t="shared" si="1267"/>
        <v>#NAME?</v>
      </c>
      <c r="AB109" t="e">
        <f t="shared" si="1268"/>
        <v>#NAME?</v>
      </c>
      <c r="AD109">
        <f t="shared" si="1272"/>
        <v>106</v>
      </c>
      <c r="AE109" t="e">
        <f t="shared" ref="AE109:AE113" si="1276">Y109+J$6</f>
        <v>#NAME?</v>
      </c>
    </row>
    <row r="110">
      <c r="V110">
        <f t="shared" si="1274"/>
        <v>107</v>
      </c>
      <c r="Y110" t="e">
        <f>SUMPRODUCT(W108,I4)+SUMPRODUCT(Y109,I5)+SUMPRODUCT(X108,J4)</f>
        <v>#NAME?</v>
      </c>
      <c r="Z110" t="e">
        <f t="shared" si="1275"/>
        <v>#NAME?</v>
      </c>
      <c r="AA110" t="e">
        <f t="shared" si="1267"/>
        <v>#NAME?</v>
      </c>
      <c r="AB110" t="e">
        <f t="shared" si="1268"/>
        <v>#NAME?</v>
      </c>
      <c r="AD110">
        <f t="shared" si="1272"/>
        <v>107</v>
      </c>
      <c r="AE110" t="e">
        <f t="shared" si="1276"/>
        <v>#NAME?</v>
      </c>
    </row>
    <row r="111">
      <c r="V111">
        <f t="shared" si="1274"/>
        <v>108</v>
      </c>
      <c r="Y111" t="e">
        <f>SUMPRODUCT(Y109:Y110,I4:I5)</f>
        <v>#NAME?</v>
      </c>
      <c r="Z111" t="e">
        <f t="shared" si="1275"/>
        <v>#NAME?</v>
      </c>
      <c r="AA111" t="e">
        <f t="shared" si="1267"/>
        <v>#NAME?</v>
      </c>
      <c r="AB111" t="e">
        <f t="shared" si="1268"/>
        <v>#NAME?</v>
      </c>
      <c r="AD111">
        <f t="shared" si="1272"/>
        <v>108</v>
      </c>
      <c r="AE111" t="e">
        <f t="shared" si="1276"/>
        <v>#NAME?</v>
      </c>
    </row>
    <row r="112">
      <c r="V112">
        <f t="shared" si="1274"/>
        <v>109</v>
      </c>
      <c r="Y112" t="e">
        <f>SUMPRODUCT(Y110:Y111,I4:I5)</f>
        <v>#NAME?</v>
      </c>
      <c r="Z112" t="e">
        <f t="shared" si="1275"/>
        <v>#NAME?</v>
      </c>
      <c r="AA112" t="e">
        <f t="shared" si="1267"/>
        <v>#NAME?</v>
      </c>
      <c r="AB112" t="e">
        <f t="shared" si="1268"/>
        <v>#NAME?</v>
      </c>
      <c r="AD112">
        <f t="shared" si="1272"/>
        <v>109</v>
      </c>
      <c r="AE112" t="e">
        <f t="shared" si="1276"/>
        <v>#NAME?</v>
      </c>
    </row>
    <row r="113">
      <c r="V113" s="14">
        <f t="shared" si="1274"/>
        <v>110</v>
      </c>
      <c r="W113" s="14"/>
      <c r="X113" s="14"/>
      <c r="Y113" s="14" t="e">
        <f>SUMPRODUCT(Y111:Y112,I4:I5)</f>
        <v>#NAME?</v>
      </c>
      <c r="Z113" s="14" t="e">
        <f t="shared" si="1275"/>
        <v>#NAME?</v>
      </c>
      <c r="AA113" s="14" t="e">
        <f t="shared" si="1267"/>
        <v>#NAME?</v>
      </c>
      <c r="AB113" s="14" t="e">
        <f t="shared" si="1268"/>
        <v>#NAME?</v>
      </c>
      <c r="AD113" s="14">
        <f t="shared" si="1272"/>
        <v>110</v>
      </c>
      <c r="AE113" s="14" t="e">
        <f t="shared" si="1276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" t="s">
        <v>133</v>
      </c>
    </row>
    <row r="3">
      <c r="A3" s="4" t="s">
        <v>343</v>
      </c>
      <c r="B3" s="4">
        <v>1</v>
      </c>
      <c r="C3" s="4">
        <f>B3+1</f>
        <v>2</v>
      </c>
      <c r="D3" s="4">
        <f>C3+1</f>
        <v>3</v>
      </c>
      <c r="E3" s="4">
        <f>D3+1</f>
        <v>4</v>
      </c>
      <c r="G3" s="4">
        <v>1</v>
      </c>
      <c r="H3" s="4">
        <f>G3+1</f>
        <v>2</v>
      </c>
      <c r="I3" s="4">
        <f>H3+1</f>
        <v>3</v>
      </c>
      <c r="J3" s="4">
        <f>I3+1</f>
        <v>4</v>
      </c>
    </row>
    <row r="4">
      <c r="A4">
        <v>3.1176756475655347</v>
      </c>
      <c r="B4">
        <f t="shared" ref="B4:B8" si="1277">A5-A4</f>
        <v>2.6905754382333926</v>
      </c>
      <c r="C4">
        <f t="shared" ref="C4:C8" si="1278">B5-B4</f>
        <v>-3.5920579256505443</v>
      </c>
      <c r="D4">
        <f t="shared" ref="D4:D8" si="1279">C5-C4</f>
        <v>5.706246296946162</v>
      </c>
      <c r="E4">
        <f t="shared" ref="E4:E8" si="1280">D5-D4</f>
        <v>-7.0172887226147802</v>
      </c>
      <c r="G4" t="e">
        <v>#NAME?</v>
      </c>
      <c r="H4" t="e">
        <v>#NAME?</v>
      </c>
      <c r="I4" t="e">
        <v>#NAME?</v>
      </c>
      <c r="J4" t="e">
        <v>#NAME?</v>
      </c>
    </row>
    <row r="5">
      <c r="A5">
        <v>5.8082510857989273</v>
      </c>
      <c r="B5">
        <f t="shared" si="1277"/>
        <v>-0.90148248741715165</v>
      </c>
      <c r="C5">
        <f t="shared" si="1278"/>
        <v>2.1141883712956178</v>
      </c>
      <c r="D5">
        <f t="shared" si="1279"/>
        <v>-1.3110424256686182</v>
      </c>
      <c r="E5">
        <f t="shared" si="1280"/>
        <v>-0.2984142345835803</v>
      </c>
      <c r="G5" t="e">
        <v>#NAME?</v>
      </c>
      <c r="H5" t="e">
        <v>#NAME?</v>
      </c>
      <c r="I5" t="e">
        <v>#NAME?</v>
      </c>
      <c r="J5" t="e">
        <v>#NAME?</v>
      </c>
    </row>
    <row r="6">
      <c r="A6">
        <v>4.9067685983817757</v>
      </c>
      <c r="B6">
        <f t="shared" si="1277"/>
        <v>1.2127058838784661</v>
      </c>
      <c r="C6">
        <f t="shared" si="1278"/>
        <v>0.80314594562699959</v>
      </c>
      <c r="D6">
        <f t="shared" si="1279"/>
        <v>-1.6094566602521985</v>
      </c>
      <c r="E6">
        <f t="shared" si="1280"/>
        <v>1.0090095172383169</v>
      </c>
      <c r="G6" t="e">
        <v>#NAME?</v>
      </c>
      <c r="H6" t="e">
        <v>#NAME?</v>
      </c>
      <c r="I6" t="e">
        <v>#NAME?</v>
      </c>
      <c r="J6" t="e">
        <v>#NAME?</v>
      </c>
    </row>
    <row r="7">
      <c r="A7">
        <v>6.1194744822602418</v>
      </c>
      <c r="B7">
        <f t="shared" si="1277"/>
        <v>2.0158518295054657</v>
      </c>
      <c r="C7">
        <f t="shared" si="1278"/>
        <v>-0.80631071462519888</v>
      </c>
      <c r="D7">
        <f t="shared" si="1279"/>
        <v>-0.60044714301388158</v>
      </c>
      <c r="E7">
        <f t="shared" si="1280"/>
        <v>1.1582643408275919</v>
      </c>
      <c r="G7" t="e">
        <v>#NAME?</v>
      </c>
      <c r="H7" t="e">
        <v>#NAME?</v>
      </c>
      <c r="I7" t="e">
        <v>#NAME?</v>
      </c>
      <c r="J7" t="e">
        <v>#NAME?</v>
      </c>
    </row>
    <row r="8">
      <c r="A8">
        <v>8.1353263117657075</v>
      </c>
      <c r="B8">
        <f t="shared" si="1277"/>
        <v>1.2095411148802668</v>
      </c>
      <c r="C8">
        <f t="shared" si="1278"/>
        <v>-1.4067578576390805</v>
      </c>
      <c r="D8">
        <f t="shared" si="1279"/>
        <v>0.55781719781371031</v>
      </c>
      <c r="E8">
        <f t="shared" si="1280"/>
        <v>3.3822066124657955</v>
      </c>
      <c r="G8" t="e">
        <v>#NAME?</v>
      </c>
      <c r="H8" t="e">
        <v>#NAME?</v>
      </c>
      <c r="I8" t="e">
        <v>#NAME?</v>
      </c>
      <c r="J8" t="e">
        <v>#NAME?</v>
      </c>
    </row>
    <row r="9">
      <c r="A9">
        <v>9.3448674266459744</v>
      </c>
      <c r="B9">
        <f>A10-A9</f>
        <v>-0.19721674275881362</v>
      </c>
      <c r="C9">
        <f>B10-B9</f>
        <v>-0.84894065982537015</v>
      </c>
      <c r="D9">
        <f>C10-C9</f>
        <v>3.9400238102795058</v>
      </c>
      <c r="E9">
        <f>D10-D9</f>
        <v>-8.1772553887723429</v>
      </c>
      <c r="G9" t="e">
        <v>#NAME?</v>
      </c>
      <c r="H9" t="e">
        <v>#NAME?</v>
      </c>
      <c r="I9" t="e">
        <v>#NAME?</v>
      </c>
      <c r="J9" t="e">
        <v>#NAME?</v>
      </c>
    </row>
    <row r="10">
      <c r="A10">
        <v>9.1476506838871607</v>
      </c>
      <c r="B10">
        <f t="shared" ref="B10:B22" si="1281">A11-A10</f>
        <v>-1.0461574025841838</v>
      </c>
      <c r="C10">
        <f t="shared" ref="C10:C21" si="1282">B11-B10</f>
        <v>3.0910831504541356</v>
      </c>
      <c r="D10">
        <f t="shared" ref="D10:D20" si="1283">C11-C10</f>
        <v>-4.2372315784928372</v>
      </c>
      <c r="E10">
        <f t="shared" ref="E10:E19" si="1284">D11-D10</f>
        <v>3.5619844178790956</v>
      </c>
      <c r="G10" t="e">
        <v>#NAME?</v>
      </c>
      <c r="H10" t="e">
        <v>#NAME?</v>
      </c>
      <c r="I10" t="e">
        <v>#NAME?</v>
      </c>
      <c r="J10" t="e">
        <v>#NAME?</v>
      </c>
    </row>
    <row r="11">
      <c r="A11">
        <v>8.101493281302977</v>
      </c>
      <c r="B11">
        <f t="shared" si="1281"/>
        <v>2.0449257478699518</v>
      </c>
      <c r="C11">
        <f t="shared" si="1282"/>
        <v>-1.1461484280387015</v>
      </c>
      <c r="D11">
        <f t="shared" si="1283"/>
        <v>-0.67524716061374157</v>
      </c>
      <c r="E11">
        <f t="shared" si="1284"/>
        <v>3.4702851823564398</v>
      </c>
      <c r="G11" t="e">
        <v>#NAME?</v>
      </c>
      <c r="H11" t="e">
        <v>#NAME?</v>
      </c>
      <c r="I11" t="e">
        <v>#NAME?</v>
      </c>
      <c r="J11" t="e">
        <v>#NAME?</v>
      </c>
    </row>
    <row r="12">
      <c r="A12">
        <v>10.146419029172929</v>
      </c>
      <c r="B12">
        <f t="shared" si="1281"/>
        <v>0.89877731983125031</v>
      </c>
      <c r="C12">
        <f t="shared" si="1282"/>
        <v>-1.8213955886524431</v>
      </c>
      <c r="D12">
        <f t="shared" si="1283"/>
        <v>2.7950380217426982</v>
      </c>
      <c r="E12">
        <f t="shared" si="1284"/>
        <v>-3.1719970626612515</v>
      </c>
      <c r="G12" t="e">
        <v>#NAME?</v>
      </c>
      <c r="H12" t="e">
        <v>#NAME?</v>
      </c>
      <c r="I12" t="e">
        <v>#NAME?</v>
      </c>
      <c r="J12" t="e">
        <v>#NAME?</v>
      </c>
    </row>
    <row r="13">
      <c r="A13">
        <v>11.045196349004179</v>
      </c>
      <c r="B13">
        <f t="shared" si="1281"/>
        <v>-0.9226182688211928</v>
      </c>
      <c r="C13">
        <f t="shared" si="1282"/>
        <v>0.97364243309025511</v>
      </c>
      <c r="D13">
        <f t="shared" si="1283"/>
        <v>-0.37695904091855326</v>
      </c>
      <c r="E13">
        <f t="shared" si="1284"/>
        <v>-1.6046784590127707</v>
      </c>
      <c r="G13" t="e">
        <v>#NAME?</v>
      </c>
      <c r="H13" t="e">
        <v>#NAME?</v>
      </c>
      <c r="I13" t="e">
        <v>#NAME?</v>
      </c>
      <c r="J13" t="e">
        <v>#NAME?</v>
      </c>
    </row>
    <row r="14">
      <c r="A14">
        <v>10.122578080182986</v>
      </c>
      <c r="B14">
        <f t="shared" si="1281"/>
        <v>5.1024164269062311e-02</v>
      </c>
      <c r="C14">
        <f t="shared" si="1282"/>
        <v>0.59668339217170185</v>
      </c>
      <c r="D14">
        <f t="shared" si="1283"/>
        <v>-1.981637499931324</v>
      </c>
      <c r="E14">
        <f t="shared" si="1284"/>
        <v>4.3658289649913247</v>
      </c>
      <c r="G14" t="e">
        <v>#NAME?</v>
      </c>
      <c r="H14" t="e">
        <v>#NAME?</v>
      </c>
      <c r="I14" t="e">
        <v>#NAME?</v>
      </c>
      <c r="J14" t="e">
        <v>#NAME?</v>
      </c>
    </row>
    <row r="15">
      <c r="A15">
        <v>10.173602244452049</v>
      </c>
      <c r="B15">
        <f t="shared" si="1281"/>
        <v>0.64770755644076417</v>
      </c>
      <c r="C15">
        <f t="shared" si="1282"/>
        <v>-1.3849541077596221</v>
      </c>
      <c r="D15">
        <f t="shared" si="1283"/>
        <v>2.3841914650600007</v>
      </c>
      <c r="E15">
        <f t="shared" si="1284"/>
        <v>-4.2992707445947804</v>
      </c>
      <c r="G15" t="e">
        <v>#NAME?</v>
      </c>
      <c r="H15" t="e">
        <v>#NAME?</v>
      </c>
      <c r="I15" t="e">
        <v>#NAME?</v>
      </c>
      <c r="J15" t="e">
        <v>#NAME?</v>
      </c>
    </row>
    <row r="16">
      <c r="A16">
        <v>10.821309800892813</v>
      </c>
      <c r="B16">
        <f t="shared" si="1281"/>
        <v>-0.73724655131885797</v>
      </c>
      <c r="C16">
        <f t="shared" si="1282"/>
        <v>0.99923735730037855</v>
      </c>
      <c r="D16">
        <f t="shared" si="1283"/>
        <v>-1.9150792795347797</v>
      </c>
      <c r="E16">
        <f t="shared" si="1284"/>
        <v>4.998144149345336</v>
      </c>
      <c r="G16" t="e">
        <v>#NAME?</v>
      </c>
      <c r="H16" t="e">
        <v>#NAME?</v>
      </c>
      <c r="I16" t="e">
        <v>#NAME?</v>
      </c>
      <c r="J16" t="e">
        <v>#NAME?</v>
      </c>
    </row>
    <row r="17">
      <c r="A17">
        <v>10.084063249573955</v>
      </c>
      <c r="B17">
        <f t="shared" si="1281"/>
        <v>0.26199080598152058</v>
      </c>
      <c r="C17">
        <f t="shared" si="1282"/>
        <v>-0.9158419222344012</v>
      </c>
      <c r="D17">
        <f t="shared" si="1283"/>
        <v>3.0830648698105563</v>
      </c>
      <c r="E17">
        <f t="shared" si="1284"/>
        <v>-5.3171180028210099</v>
      </c>
      <c r="G17" t="e">
        <v>#NAME?</v>
      </c>
      <c r="H17" t="e">
        <v>#NAME?</v>
      </c>
      <c r="I17" t="e">
        <v>#NAME?</v>
      </c>
      <c r="J17" t="e">
        <v>#NAME?</v>
      </c>
    </row>
    <row r="18">
      <c r="A18">
        <v>10.346054055555475</v>
      </c>
      <c r="B18">
        <f t="shared" si="1281"/>
        <v>-0.65385111625288062</v>
      </c>
      <c r="C18">
        <f t="shared" si="1282"/>
        <v>2.1672229475761551</v>
      </c>
      <c r="D18">
        <f t="shared" si="1283"/>
        <v>-2.2340531330104536</v>
      </c>
      <c r="E18">
        <f t="shared" si="1284"/>
        <v>1.6085544246763295</v>
      </c>
      <c r="G18" t="e">
        <v>#NAME?</v>
      </c>
      <c r="H18" t="e">
        <v>#NAME?</v>
      </c>
      <c r="I18" t="e">
        <v>#NAME?</v>
      </c>
      <c r="J18" t="e">
        <v>#NAME?</v>
      </c>
    </row>
    <row r="19">
      <c r="A19">
        <v>9.6922029393025948</v>
      </c>
      <c r="B19">
        <f t="shared" si="1281"/>
        <v>1.5133718313232745</v>
      </c>
      <c r="C19">
        <f t="shared" si="1282"/>
        <v>-6.6830185434298528e-02</v>
      </c>
      <c r="D19">
        <f t="shared" si="1283"/>
        <v>-0.62549870833412413</v>
      </c>
      <c r="E19">
        <f t="shared" si="1284"/>
        <v>-0.61149638846942977</v>
      </c>
      <c r="G19" t="e">
        <v>#NAME?</v>
      </c>
      <c r="H19" t="e">
        <v>#NAME?</v>
      </c>
      <c r="I19" t="e">
        <v>#NAME?</v>
      </c>
      <c r="J19" t="e">
        <v>#NAME?</v>
      </c>
    </row>
    <row r="20">
      <c r="A20">
        <v>11.205574770625869</v>
      </c>
      <c r="B20">
        <f t="shared" si="1281"/>
        <v>1.4465416458889759</v>
      </c>
      <c r="C20">
        <f t="shared" si="1282"/>
        <v>-0.69232889376842266</v>
      </c>
      <c r="D20">
        <f t="shared" si="1283"/>
        <v>-1.2369950968035539</v>
      </c>
      <c r="G20" t="e">
        <v>#NAME?</v>
      </c>
      <c r="H20" t="e">
        <v>#NAME?</v>
      </c>
      <c r="I20" t="e">
        <v>#NAME?</v>
      </c>
      <c r="J20" t="e">
        <v>#NAME?</v>
      </c>
    </row>
    <row r="21">
      <c r="A21">
        <v>12.652116416514845</v>
      </c>
      <c r="B21">
        <f t="shared" si="1281"/>
        <v>0.75421275212055328</v>
      </c>
      <c r="C21">
        <f t="shared" si="1282"/>
        <v>-1.9293239905719766</v>
      </c>
      <c r="G21" t="e">
        <v>#NAME?</v>
      </c>
      <c r="H21" t="e">
        <v>#NAME?</v>
      </c>
      <c r="I21" t="e">
        <v>#NAME?</v>
      </c>
      <c r="J21" t="e">
        <v>#NAME?</v>
      </c>
    </row>
    <row r="22">
      <c r="A22">
        <v>13.406329168635398</v>
      </c>
      <c r="B22">
        <f t="shared" si="1281"/>
        <v>-1.1751112384514233</v>
      </c>
      <c r="G22" t="e">
        <v>#NAME?</v>
      </c>
      <c r="H22" t="e">
        <v>#NAME?</v>
      </c>
      <c r="I22" t="e">
        <v>#NAME?</v>
      </c>
      <c r="J22" t="e">
        <v>#NAME?</v>
      </c>
    </row>
    <row r="23">
      <c r="A23">
        <v>12.231217930183975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3" max="3" width="7.8125"/>
    <col customWidth="1" min="4" max="4" width="9.1785709999999998"/>
    <col customWidth="1" min="9" max="10" width="10.178571"/>
    <col customWidth="1" min="22" max="22" width="9.1785709999999998"/>
    <col customWidth="1" min="30" max="30" width="9.1785709999999998"/>
  </cols>
  <sheetData>
    <row r="1">
      <c r="A1" s="1" t="s">
        <v>589</v>
      </c>
      <c r="D1" t="s">
        <v>578</v>
      </c>
      <c r="H1" t="s">
        <v>475</v>
      </c>
      <c r="L1" t="s">
        <v>476</v>
      </c>
      <c r="P1" t="s">
        <v>477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391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>
        <f t="shared" ref="E4:E8" si="1285">B5-B4</f>
        <v>2.69057543823339</v>
      </c>
      <c r="F4">
        <v>0</v>
      </c>
      <c r="H4" s="15">
        <v>2</v>
      </c>
      <c r="I4" t="e">
        <f>Q6</f>
        <v>#NAME?</v>
      </c>
      <c r="J4">
        <v>0</v>
      </c>
      <c r="L4" t="e">
        <v>#NAME?</v>
      </c>
      <c r="M4" t="e">
        <v>#NAME?</v>
      </c>
      <c r="N4" t="e">
        <v>#NAME?</v>
      </c>
      <c r="P4" t="s">
        <v>494</v>
      </c>
      <c r="Q4" t="e">
        <v>#NAME?</v>
      </c>
      <c r="R4" t="e">
        <v>#NAME?</v>
      </c>
      <c r="S4" t="e">
        <f t="shared" ref="S4:S7" si="1286">Q4/R4</f>
        <v>#NAME?</v>
      </c>
      <c r="T4" t="e">
        <f t="shared" ref="T4:T7" si="1287">TDIST(ABS(S4),J$18-J$10-J$11-1,2)</f>
        <v>#NAME?</v>
      </c>
      <c r="V4">
        <f t="shared" ref="V4:V9" si="1288">D4</f>
        <v>1</v>
      </c>
      <c r="W4">
        <f t="shared" ref="W4:W9" si="1289">E4</f>
        <v>2.69057543823339</v>
      </c>
      <c r="X4">
        <f t="shared" ref="X4:X9" si="1290">F4</f>
        <v>0</v>
      </c>
      <c r="Y4">
        <f t="shared" ref="Y4:Y9" si="1291">W4-X4</f>
        <v>2.69057543823339</v>
      </c>
      <c r="Z4" t="e">
        <f t="shared" ref="Z4:Z67" si="1292">J$15</f>
        <v>#NAME?</v>
      </c>
      <c r="AA4" t="e">
        <f t="shared" ref="AA4:AA9" si="1293">Y4-NORMSINV(1-Z$2/2)*Z4</f>
        <v>#NAME?</v>
      </c>
      <c r="AB4" t="e">
        <f t="shared" ref="AB4:AB9" si="1294">Y4+NORMSINV(1-Z$2/2)*Z4</f>
        <v>#NAME?</v>
      </c>
      <c r="AD4">
        <v>1</v>
      </c>
      <c r="AE4">
        <f t="shared" ref="AE4:AE9" si="1295">B4</f>
        <v>3.1176756475655401</v>
      </c>
    </row>
    <row r="5">
      <c r="A5">
        <f t="shared" ref="A5:A10" si="1296">A4+1</f>
        <v>2</v>
      </c>
      <c r="B5">
        <v>5.8082510857989273</v>
      </c>
      <c r="D5">
        <f t="shared" ref="D5:D10" si="1297">D4+1</f>
        <v>2</v>
      </c>
      <c r="E5">
        <f t="shared" si="1285"/>
        <v>-0.90148248741715009</v>
      </c>
      <c r="F5">
        <v>0</v>
      </c>
      <c r="H5" s="15">
        <f>H4-1</f>
        <v>1</v>
      </c>
      <c r="I5" t="e">
        <f>Q5</f>
        <v>#NAME?</v>
      </c>
      <c r="J5" t="e">
        <f>Q7</f>
        <v>#NAME?</v>
      </c>
      <c r="L5" s="14" t="e">
        <v>#NAME?</v>
      </c>
      <c r="M5" s="14" t="e">
        <v>#NAME?</v>
      </c>
      <c r="N5" s="14" t="e">
        <v>#NAME?</v>
      </c>
      <c r="P5" t="s">
        <v>488</v>
      </c>
      <c r="Q5" t="e">
        <v>#NAME?</v>
      </c>
      <c r="R5" t="e">
        <v>#NAME?</v>
      </c>
      <c r="S5" t="e">
        <f t="shared" si="1286"/>
        <v>#NAME?</v>
      </c>
      <c r="T5" t="e">
        <f t="shared" si="1287"/>
        <v>#NAME?</v>
      </c>
      <c r="V5">
        <f t="shared" si="1288"/>
        <v>2</v>
      </c>
      <c r="W5">
        <f t="shared" si="1289"/>
        <v>-0.90148248741715009</v>
      </c>
      <c r="X5">
        <f t="shared" si="1290"/>
        <v>0</v>
      </c>
      <c r="Y5">
        <f t="shared" si="1291"/>
        <v>-0.90148248741715009</v>
      </c>
      <c r="Z5" t="e">
        <f t="shared" si="1292"/>
        <v>#NAME?</v>
      </c>
      <c r="AA5" t="e">
        <f t="shared" si="1293"/>
        <v>#NAME?</v>
      </c>
      <c r="AB5" t="e">
        <f t="shared" si="1294"/>
        <v>#NAME?</v>
      </c>
      <c r="AD5">
        <f t="shared" ref="AD5:AD10" si="1298">AD4+1</f>
        <v>2</v>
      </c>
      <c r="AE5">
        <f t="shared" si="1295"/>
        <v>5.80825108579893</v>
      </c>
    </row>
    <row r="6">
      <c r="A6">
        <f t="shared" si="1296"/>
        <v>3</v>
      </c>
      <c r="B6">
        <v>4.9067685983817757</v>
      </c>
      <c r="D6">
        <f t="shared" si="1297"/>
        <v>3</v>
      </c>
      <c r="E6">
        <f t="shared" si="1285"/>
        <v>1.2127058838784599</v>
      </c>
      <c r="F6" t="e">
        <f t="shared" ref="F6:F9" si="1299">E6-SUMPRODUCT(E4:E5,I$4:I$5)-SUMPRODUCT(F5,J$5)</f>
        <v>#NAME?</v>
      </c>
      <c r="H6" s="17" t="s">
        <v>494</v>
      </c>
      <c r="I6" s="14" t="e">
        <f>Q4</f>
        <v>#NAME?</v>
      </c>
      <c r="J6" s="14" t="e">
        <f>I6/(1-SUM(I4:I5))</f>
        <v>#NAME?</v>
      </c>
      <c r="P6" t="s">
        <v>489</v>
      </c>
      <c r="Q6" t="e">
        <v>#NAME?</v>
      </c>
      <c r="R6" t="e">
        <v>#NAME?</v>
      </c>
      <c r="S6" t="e">
        <f t="shared" si="1286"/>
        <v>#NAME?</v>
      </c>
      <c r="T6" t="e">
        <f t="shared" si="1287"/>
        <v>#NAME?</v>
      </c>
      <c r="V6">
        <f t="shared" si="1288"/>
        <v>3</v>
      </c>
      <c r="W6">
        <f t="shared" si="1289"/>
        <v>1.2127058838784599</v>
      </c>
      <c r="X6" t="e">
        <f t="shared" si="1290"/>
        <v>#NAME?</v>
      </c>
      <c r="Y6" t="e">
        <f t="shared" si="1291"/>
        <v>#NAME?</v>
      </c>
      <c r="Z6" t="e">
        <f t="shared" si="1292"/>
        <v>#NAME?</v>
      </c>
      <c r="AA6" t="e">
        <f t="shared" si="1293"/>
        <v>#NAME?</v>
      </c>
      <c r="AB6" t="e">
        <f t="shared" si="1294"/>
        <v>#NAME?</v>
      </c>
      <c r="AD6">
        <f t="shared" si="1298"/>
        <v>3</v>
      </c>
      <c r="AE6">
        <f t="shared" si="1295"/>
        <v>4.9067685983817801</v>
      </c>
    </row>
    <row r="7">
      <c r="A7">
        <f t="shared" si="1296"/>
        <v>4</v>
      </c>
      <c r="B7">
        <v>6.1194744822602418</v>
      </c>
      <c r="D7">
        <f t="shared" si="1297"/>
        <v>4</v>
      </c>
      <c r="E7">
        <f t="shared" si="1285"/>
        <v>2.0158518295054701</v>
      </c>
      <c r="F7" t="e">
        <f t="shared" si="1299"/>
        <v>#NAME?</v>
      </c>
      <c r="L7" t="s">
        <v>495</v>
      </c>
      <c r="P7" s="14" t="s">
        <v>581</v>
      </c>
      <c r="Q7" s="14" t="e">
        <v>#NAME?</v>
      </c>
      <c r="R7" s="14" t="e">
        <v>#NAME?</v>
      </c>
      <c r="S7" s="14" t="e">
        <f t="shared" si="1286"/>
        <v>#NAME?</v>
      </c>
      <c r="T7" s="14" t="e">
        <f t="shared" si="1287"/>
        <v>#NAME?</v>
      </c>
      <c r="V7">
        <f t="shared" si="1288"/>
        <v>4</v>
      </c>
      <c r="W7">
        <f t="shared" si="1289"/>
        <v>2.0158518295054701</v>
      </c>
      <c r="X7" t="e">
        <f t="shared" si="1290"/>
        <v>#NAME?</v>
      </c>
      <c r="Y7" t="e">
        <f t="shared" si="1291"/>
        <v>#NAME?</v>
      </c>
      <c r="Z7" t="e">
        <f t="shared" si="1292"/>
        <v>#NAME?</v>
      </c>
      <c r="AA7" t="e">
        <f t="shared" si="1293"/>
        <v>#NAME?</v>
      </c>
      <c r="AB7" t="e">
        <f t="shared" si="1294"/>
        <v>#NAME?</v>
      </c>
      <c r="AD7">
        <f t="shared" si="1298"/>
        <v>4</v>
      </c>
      <c r="AE7">
        <f t="shared" si="1295"/>
        <v>6.11947448226024</v>
      </c>
    </row>
    <row r="8">
      <c r="A8">
        <f t="shared" si="1296"/>
        <v>5</v>
      </c>
      <c r="B8">
        <v>8.1353263117657075</v>
      </c>
      <c r="D8">
        <f t="shared" si="1297"/>
        <v>5</v>
      </c>
      <c r="E8">
        <f t="shared" si="1285"/>
        <v>1.2095411148802699</v>
      </c>
      <c r="F8" t="e">
        <f t="shared" si="1299"/>
        <v>#NAME?</v>
      </c>
      <c r="I8" t="s">
        <v>464</v>
      </c>
      <c r="J8" s="18" t="e">
        <f>SUMSQ(F6:F107)</f>
        <v>#NAME?</v>
      </c>
      <c r="V8">
        <f t="shared" si="1288"/>
        <v>5</v>
      </c>
      <c r="W8">
        <f t="shared" si="1289"/>
        <v>1.2095411148802699</v>
      </c>
      <c r="X8" t="e">
        <f t="shared" si="1290"/>
        <v>#NAME?</v>
      </c>
      <c r="Y8" t="e">
        <f t="shared" si="1291"/>
        <v>#NAME?</v>
      </c>
      <c r="Z8" t="e">
        <f t="shared" si="1292"/>
        <v>#NAME?</v>
      </c>
      <c r="AA8" t="e">
        <f t="shared" si="1293"/>
        <v>#NAME?</v>
      </c>
      <c r="AB8" t="e">
        <f t="shared" si="1294"/>
        <v>#NAME?</v>
      </c>
      <c r="AD8">
        <f t="shared" si="1298"/>
        <v>5</v>
      </c>
      <c r="AE8">
        <f t="shared" si="1295"/>
        <v>8.1353263117657093</v>
      </c>
    </row>
    <row r="9">
      <c r="A9">
        <f t="shared" si="1296"/>
        <v>6</v>
      </c>
      <c r="B9">
        <v>9.3448674266459744</v>
      </c>
      <c r="D9">
        <f t="shared" si="1297"/>
        <v>6</v>
      </c>
      <c r="E9">
        <f>B10-B9</f>
        <v>-0.19721674275881898</v>
      </c>
      <c r="F9" t="e">
        <f t="shared" si="1299"/>
        <v>#NAME?</v>
      </c>
      <c r="L9" s="24" t="s">
        <v>469</v>
      </c>
      <c r="M9" s="24" t="s">
        <v>470</v>
      </c>
      <c r="N9" s="24" t="s">
        <v>484</v>
      </c>
      <c r="V9">
        <f t="shared" si="1288"/>
        <v>6</v>
      </c>
      <c r="W9">
        <f t="shared" si="1289"/>
        <v>-0.19721674275881898</v>
      </c>
      <c r="X9" t="e">
        <f t="shared" si="1290"/>
        <v>#NAME?</v>
      </c>
      <c r="Y9" t="e">
        <f t="shared" si="1291"/>
        <v>#NAME?</v>
      </c>
      <c r="Z9" t="e">
        <f t="shared" si="1292"/>
        <v>#NAME?</v>
      </c>
      <c r="AA9" t="e">
        <f t="shared" si="1293"/>
        <v>#NAME?</v>
      </c>
      <c r="AB9" t="e">
        <f t="shared" si="1294"/>
        <v>#NAME?</v>
      </c>
      <c r="AD9">
        <f t="shared" si="1298"/>
        <v>6</v>
      </c>
      <c r="AE9">
        <f t="shared" si="1295"/>
        <v>9.3448674266459797</v>
      </c>
    </row>
    <row r="10">
      <c r="A10">
        <f t="shared" si="1296"/>
        <v>7</v>
      </c>
      <c r="B10">
        <v>9.1476506838871607</v>
      </c>
      <c r="D10">
        <f t="shared" si="1297"/>
        <v>7</v>
      </c>
      <c r="E10">
        <f t="shared" ref="E10:E73" si="1300">B11-B10</f>
        <v>-1.04615740258418</v>
      </c>
      <c r="F10" t="e">
        <f>E10-SUMPRODUCT(E8:E9,I$4:I$5)-SUMPRODUCT(F9,J$5)</f>
        <v>#NAME?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V10">
        <f t="shared" ref="V10:V73" si="1301">D10</f>
        <v>7</v>
      </c>
      <c r="W10">
        <f t="shared" ref="W10:W73" si="1302">E10</f>
        <v>-1.04615740258418</v>
      </c>
      <c r="X10" t="e">
        <f t="shared" ref="X10:X73" si="1303">F10</f>
        <v>#NAME?</v>
      </c>
      <c r="Y10" t="e">
        <f t="shared" ref="Y10:Y73" si="1304">W10-X10</f>
        <v>#NAME?</v>
      </c>
      <c r="Z10" t="e">
        <f t="shared" si="1292"/>
        <v>#NAME?</v>
      </c>
      <c r="AA10" t="e">
        <f t="shared" ref="AA10:AA73" si="1305">Y10-NORMSINV(1-Z$2/2)*Z10</f>
        <v>#NAME?</v>
      </c>
      <c r="AB10" t="e">
        <f t="shared" ref="AB10:AB73" si="1306">Y10+NORMSINV(1-Z$2/2)*Z10</f>
        <v>#NAME?</v>
      </c>
      <c r="AD10">
        <f t="shared" si="1298"/>
        <v>7</v>
      </c>
      <c r="AE10">
        <f t="shared" ref="AE10:AE73" si="1307">B10</f>
        <v>9.1476506838871607</v>
      </c>
    </row>
    <row r="11">
      <c r="A11">
        <f t="shared" ref="A11:A74" si="1308">A10+1</f>
        <v>8</v>
      </c>
      <c r="B11">
        <v>8.101493281302977</v>
      </c>
      <c r="D11">
        <f t="shared" ref="D11:D74" si="1309">D10+1</f>
        <v>8</v>
      </c>
      <c r="E11">
        <f t="shared" si="1300"/>
        <v>2.0449257478699199</v>
      </c>
      <c r="F11" t="e">
        <f>E11-SUMPRODUCT(E9:E10,I$4:I$5)-SUMPRODUCT(F10,J$5)</f>
        <v>#NAME?</v>
      </c>
      <c r="I11" t="s">
        <v>498</v>
      </c>
      <c r="J11" s="10">
        <v>1</v>
      </c>
      <c r="V11">
        <f t="shared" si="1301"/>
        <v>8</v>
      </c>
      <c r="W11">
        <f t="shared" si="1302"/>
        <v>2.0449257478699199</v>
      </c>
      <c r="X11" t="e">
        <f t="shared" si="1303"/>
        <v>#NAME?</v>
      </c>
      <c r="Y11" t="e">
        <f t="shared" si="1304"/>
        <v>#NAME?</v>
      </c>
      <c r="Z11" t="e">
        <f t="shared" si="1292"/>
        <v>#NAME?</v>
      </c>
      <c r="AA11" t="e">
        <f t="shared" si="1305"/>
        <v>#NAME?</v>
      </c>
      <c r="AB11" t="e">
        <f t="shared" si="1306"/>
        <v>#NAME?</v>
      </c>
      <c r="AD11">
        <f t="shared" ref="AD11:AD74" si="1310">AD10+1</f>
        <v>8</v>
      </c>
      <c r="AE11">
        <f t="shared" si="1307"/>
        <v>8.1014932813029805</v>
      </c>
    </row>
    <row r="12">
      <c r="A12">
        <f t="shared" si="1308"/>
        <v>9</v>
      </c>
      <c r="B12">
        <v>10.146419029172929</v>
      </c>
      <c r="D12">
        <f t="shared" si="1309"/>
        <v>9</v>
      </c>
      <c r="E12">
        <f t="shared" si="1300"/>
        <v>0.89877731983130005</v>
      </c>
      <c r="F12" t="e">
        <f t="shared" ref="F12:F75" si="1311">E12-SUMPRODUCT(E10:E11,I$4:I$5)-SUMPRODUCT(F11,J$5)</f>
        <v>#NAME?</v>
      </c>
      <c r="I12" t="s">
        <v>181</v>
      </c>
      <c r="J12" s="10">
        <v>1</v>
      </c>
      <c r="L12" t="s">
        <v>499</v>
      </c>
      <c r="V12">
        <f t="shared" si="1301"/>
        <v>9</v>
      </c>
      <c r="W12">
        <f t="shared" si="1302"/>
        <v>0.89877731983130005</v>
      </c>
      <c r="X12" t="e">
        <f t="shared" si="1303"/>
        <v>#NAME?</v>
      </c>
      <c r="Y12" t="e">
        <f t="shared" si="1304"/>
        <v>#NAME?</v>
      </c>
      <c r="Z12" t="e">
        <f t="shared" si="1292"/>
        <v>#NAME?</v>
      </c>
      <c r="AA12" t="e">
        <f t="shared" si="1305"/>
        <v>#NAME?</v>
      </c>
      <c r="AB12" t="e">
        <f t="shared" si="1306"/>
        <v>#NAME?</v>
      </c>
      <c r="AD12">
        <f t="shared" si="1310"/>
        <v>9</v>
      </c>
      <c r="AE12">
        <f t="shared" si="1307"/>
        <v>10.1464190291729</v>
      </c>
    </row>
    <row r="13">
      <c r="A13">
        <f t="shared" si="1308"/>
        <v>10</v>
      </c>
      <c r="B13">
        <v>11.045196349004179</v>
      </c>
      <c r="D13">
        <f t="shared" si="1309"/>
        <v>10</v>
      </c>
      <c r="E13">
        <f t="shared" si="1300"/>
        <v>-0.92261826882120013</v>
      </c>
      <c r="F13" t="e">
        <f t="shared" si="1311"/>
        <v>#NAME?</v>
      </c>
      <c r="I13" t="s">
        <v>500</v>
      </c>
      <c r="J13" s="10" t="e">
        <f>AVERAGE(F6:F107)</f>
        <v>#NAME?</v>
      </c>
      <c r="V13">
        <f t="shared" si="1301"/>
        <v>10</v>
      </c>
      <c r="W13">
        <f t="shared" si="1302"/>
        <v>-0.92261826882120013</v>
      </c>
      <c r="X13" t="e">
        <f t="shared" si="1303"/>
        <v>#NAME?</v>
      </c>
      <c r="Y13" t="e">
        <f t="shared" si="1304"/>
        <v>#NAME?</v>
      </c>
      <c r="Z13" t="e">
        <f t="shared" si="1292"/>
        <v>#NAME?</v>
      </c>
      <c r="AA13" t="e">
        <f t="shared" si="1305"/>
        <v>#NAME?</v>
      </c>
      <c r="AB13" t="e">
        <f t="shared" si="1306"/>
        <v>#NAME?</v>
      </c>
      <c r="AD13">
        <f t="shared" si="1310"/>
        <v>10</v>
      </c>
      <c r="AE13">
        <f t="shared" si="1307"/>
        <v>11.0451963490042</v>
      </c>
    </row>
    <row r="14">
      <c r="A14">
        <f t="shared" si="1308"/>
        <v>11</v>
      </c>
      <c r="B14">
        <v>10.122578080182986</v>
      </c>
      <c r="D14">
        <f t="shared" si="1309"/>
        <v>11</v>
      </c>
      <c r="E14">
        <f t="shared" si="1300"/>
        <v>5.1024164269100003e-02</v>
      </c>
      <c r="F14" t="e">
        <f t="shared" si="1311"/>
        <v>#NAME?</v>
      </c>
      <c r="I14" t="s">
        <v>502</v>
      </c>
      <c r="J14" s="10" t="e">
        <f>STDEV(F6:F107)</f>
        <v>#NAME?</v>
      </c>
      <c r="L14" s="24" t="s">
        <v>481</v>
      </c>
      <c r="M14" s="24" t="s">
        <v>501</v>
      </c>
      <c r="V14">
        <f t="shared" si="1301"/>
        <v>11</v>
      </c>
      <c r="W14">
        <f t="shared" si="1302"/>
        <v>5.1024164269100003e-02</v>
      </c>
      <c r="X14" t="e">
        <f t="shared" si="1303"/>
        <v>#NAME?</v>
      </c>
      <c r="Y14" t="e">
        <f t="shared" si="1304"/>
        <v>#NAME?</v>
      </c>
      <c r="Z14" t="e">
        <f t="shared" si="1292"/>
        <v>#NAME?</v>
      </c>
      <c r="AA14" t="e">
        <f t="shared" si="1305"/>
        <v>#NAME?</v>
      </c>
      <c r="AB14" t="e">
        <f t="shared" si="1306"/>
        <v>#NAME?</v>
      </c>
      <c r="AD14">
        <f t="shared" si="1310"/>
        <v>11</v>
      </c>
      <c r="AE14">
        <f t="shared" si="1307"/>
        <v>10.122578080183001</v>
      </c>
    </row>
    <row r="15">
      <c r="A15">
        <f t="shared" si="1308"/>
        <v>12</v>
      </c>
      <c r="B15">
        <v>10.173602244452049</v>
      </c>
      <c r="D15">
        <f t="shared" si="1309"/>
        <v>12</v>
      </c>
      <c r="E15">
        <f t="shared" si="1300"/>
        <v>0.64770755644069999</v>
      </c>
      <c r="F15" t="e">
        <f t="shared" si="1311"/>
        <v>#NAME?</v>
      </c>
      <c r="I15" t="s">
        <v>503</v>
      </c>
      <c r="J15" s="10" t="e">
        <f>SQRT(J8/J18)</f>
        <v>#NAME?</v>
      </c>
      <c r="L15" s="42">
        <v>0</v>
      </c>
      <c r="M15" s="42" t="e">
        <v>#NAME?</v>
      </c>
      <c r="V15">
        <f t="shared" si="1301"/>
        <v>12</v>
      </c>
      <c r="W15">
        <f t="shared" si="1302"/>
        <v>0.64770755644069999</v>
      </c>
      <c r="X15" t="e">
        <f t="shared" si="1303"/>
        <v>#NAME?</v>
      </c>
      <c r="Y15" t="e">
        <f t="shared" si="1304"/>
        <v>#NAME?</v>
      </c>
      <c r="Z15" t="e">
        <f t="shared" si="1292"/>
        <v>#NAME?</v>
      </c>
      <c r="AA15" t="e">
        <f t="shared" si="1305"/>
        <v>#NAME?</v>
      </c>
      <c r="AB15" t="e">
        <f t="shared" si="1306"/>
        <v>#NAME?</v>
      </c>
      <c r="AD15">
        <f t="shared" si="1310"/>
        <v>12</v>
      </c>
      <c r="AE15">
        <f t="shared" si="1307"/>
        <v>10.1736022444521</v>
      </c>
    </row>
    <row r="16">
      <c r="A16">
        <f t="shared" si="1308"/>
        <v>13</v>
      </c>
      <c r="B16">
        <v>10.821309800892813</v>
      </c>
      <c r="D16">
        <f t="shared" si="1309"/>
        <v>13</v>
      </c>
      <c r="E16">
        <f t="shared" si="1300"/>
        <v>-0.73724655131880101</v>
      </c>
      <c r="F16" t="e">
        <f t="shared" si="1311"/>
        <v>#NAME?</v>
      </c>
      <c r="I16" t="s">
        <v>504</v>
      </c>
      <c r="J16" s="10">
        <f>AVERAGE(E6:E107)</f>
        <v>6.9098004481385006e-02</v>
      </c>
      <c r="L16">
        <f t="shared" ref="L16:L19" si="1312">L15+1</f>
        <v>1</v>
      </c>
      <c r="M16" t="e">
        <v>#NAME?</v>
      </c>
      <c r="V16">
        <f t="shared" si="1301"/>
        <v>13</v>
      </c>
      <c r="W16">
        <f t="shared" si="1302"/>
        <v>-0.73724655131880101</v>
      </c>
      <c r="X16" t="e">
        <f t="shared" si="1303"/>
        <v>#NAME?</v>
      </c>
      <c r="Y16" t="e">
        <f t="shared" si="1304"/>
        <v>#NAME?</v>
      </c>
      <c r="Z16" t="e">
        <f t="shared" si="1292"/>
        <v>#NAME?</v>
      </c>
      <c r="AA16" t="e">
        <f t="shared" si="1305"/>
        <v>#NAME?</v>
      </c>
      <c r="AB16" t="e">
        <f t="shared" si="1306"/>
        <v>#NAME?</v>
      </c>
      <c r="AD16">
        <f t="shared" si="1310"/>
        <v>13</v>
      </c>
      <c r="AE16">
        <f t="shared" si="1307"/>
        <v>10.8213098008928</v>
      </c>
    </row>
    <row r="17">
      <c r="A17">
        <f t="shared" si="1308"/>
        <v>14</v>
      </c>
      <c r="B17">
        <v>10.084063249573955</v>
      </c>
      <c r="D17">
        <f t="shared" si="1309"/>
        <v>14</v>
      </c>
      <c r="E17">
        <f t="shared" si="1300"/>
        <v>0.26199080598150098</v>
      </c>
      <c r="F17" t="e">
        <f t="shared" si="1311"/>
        <v>#NAME?</v>
      </c>
      <c r="I17" t="s">
        <v>505</v>
      </c>
      <c r="J17" s="10">
        <f>STDEV(E6:E107)</f>
        <v>1.28275778824005</v>
      </c>
      <c r="L17">
        <f t="shared" si="1312"/>
        <v>2</v>
      </c>
      <c r="M17" t="e">
        <v>#NAME?</v>
      </c>
      <c r="V17">
        <f t="shared" si="1301"/>
        <v>14</v>
      </c>
      <c r="W17">
        <f t="shared" si="1302"/>
        <v>0.26199080598150098</v>
      </c>
      <c r="X17" t="e">
        <f t="shared" si="1303"/>
        <v>#NAME?</v>
      </c>
      <c r="Y17" t="e">
        <f t="shared" si="1304"/>
        <v>#NAME?</v>
      </c>
      <c r="Z17" t="e">
        <f t="shared" si="1292"/>
        <v>#NAME?</v>
      </c>
      <c r="AA17" t="e">
        <f t="shared" si="1305"/>
        <v>#NAME?</v>
      </c>
      <c r="AB17" t="e">
        <f t="shared" si="1306"/>
        <v>#NAME?</v>
      </c>
      <c r="AD17">
        <f t="shared" si="1310"/>
        <v>14</v>
      </c>
      <c r="AE17">
        <f t="shared" si="1307"/>
        <v>10.084063249573999</v>
      </c>
    </row>
    <row r="18">
      <c r="A18">
        <f t="shared" si="1308"/>
        <v>15</v>
      </c>
      <c r="B18">
        <v>10.346054055555475</v>
      </c>
      <c r="D18">
        <f t="shared" si="1309"/>
        <v>15</v>
      </c>
      <c r="E18">
        <f t="shared" si="1300"/>
        <v>-0.65385111625290004</v>
      </c>
      <c r="F18" t="e">
        <f t="shared" si="1311"/>
        <v>#NAME?</v>
      </c>
      <c r="I18" t="s">
        <v>506</v>
      </c>
      <c r="J18" s="13">
        <f>COUNT(E6:E107)</f>
        <v>102</v>
      </c>
      <c r="L18">
        <f t="shared" si="1312"/>
        <v>3</v>
      </c>
      <c r="M18" t="e">
        <v>#NAME?</v>
      </c>
      <c r="V18">
        <f t="shared" si="1301"/>
        <v>15</v>
      </c>
      <c r="W18">
        <f t="shared" si="1302"/>
        <v>-0.65385111625290004</v>
      </c>
      <c r="X18" t="e">
        <f t="shared" si="1303"/>
        <v>#NAME?</v>
      </c>
      <c r="Y18" t="e">
        <f t="shared" si="1304"/>
        <v>#NAME?</v>
      </c>
      <c r="Z18" t="e">
        <f t="shared" si="1292"/>
        <v>#NAME?</v>
      </c>
      <c r="AA18" t="e">
        <f t="shared" si="1305"/>
        <v>#NAME?</v>
      </c>
      <c r="AB18" t="e">
        <f t="shared" si="1306"/>
        <v>#NAME?</v>
      </c>
      <c r="AD18">
        <f t="shared" si="1310"/>
        <v>15</v>
      </c>
      <c r="AE18">
        <f t="shared" si="1307"/>
        <v>10.3460540555555</v>
      </c>
    </row>
    <row r="19">
      <c r="A19">
        <f t="shared" si="1308"/>
        <v>16</v>
      </c>
      <c r="B19">
        <v>9.6922029393025948</v>
      </c>
      <c r="D19">
        <f t="shared" si="1309"/>
        <v>16</v>
      </c>
      <c r="E19">
        <f t="shared" si="1300"/>
        <v>1.5133718313233</v>
      </c>
      <c r="F19" t="e">
        <f t="shared" si="1311"/>
        <v>#NAME?</v>
      </c>
      <c r="L19" s="14">
        <f t="shared" si="1312"/>
        <v>4</v>
      </c>
      <c r="M19" s="14" t="e">
        <v>#NAME?</v>
      </c>
      <c r="V19">
        <f t="shared" si="1301"/>
        <v>16</v>
      </c>
      <c r="W19">
        <f t="shared" si="1302"/>
        <v>1.5133718313233</v>
      </c>
      <c r="X19" t="e">
        <f t="shared" si="1303"/>
        <v>#NAME?</v>
      </c>
      <c r="Y19" t="e">
        <f t="shared" si="1304"/>
        <v>#NAME?</v>
      </c>
      <c r="Z19" t="e">
        <f t="shared" si="1292"/>
        <v>#NAME?</v>
      </c>
      <c r="AA19" t="e">
        <f t="shared" si="1305"/>
        <v>#NAME?</v>
      </c>
      <c r="AB19" t="e">
        <f t="shared" si="1306"/>
        <v>#NAME?</v>
      </c>
      <c r="AD19">
        <f t="shared" si="1310"/>
        <v>16</v>
      </c>
      <c r="AE19">
        <f t="shared" si="1307"/>
        <v>9.6922029393026001</v>
      </c>
    </row>
    <row r="20">
      <c r="A20">
        <f t="shared" si="1308"/>
        <v>17</v>
      </c>
      <c r="B20">
        <v>11.205574770625869</v>
      </c>
      <c r="D20">
        <f t="shared" si="1309"/>
        <v>17</v>
      </c>
      <c r="E20">
        <f t="shared" si="1300"/>
        <v>1.4465416458889</v>
      </c>
      <c r="F20" t="e">
        <f t="shared" si="1311"/>
        <v>#NAME?</v>
      </c>
      <c r="I20" t="s">
        <v>507</v>
      </c>
      <c r="J20" s="7" t="e">
        <f>-(J23-2*(J10+J11+1))/2</f>
        <v>#NAME?</v>
      </c>
      <c r="V20">
        <f t="shared" si="1301"/>
        <v>17</v>
      </c>
      <c r="W20">
        <f t="shared" si="1302"/>
        <v>1.4465416458889</v>
      </c>
      <c r="X20" t="e">
        <f t="shared" si="1303"/>
        <v>#NAME?</v>
      </c>
      <c r="Y20" t="e">
        <f t="shared" si="1304"/>
        <v>#NAME?</v>
      </c>
      <c r="Z20" t="e">
        <f t="shared" si="1292"/>
        <v>#NAME?</v>
      </c>
      <c r="AA20" t="e">
        <f t="shared" si="1305"/>
        <v>#NAME?</v>
      </c>
      <c r="AB20" t="e">
        <f t="shared" si="1306"/>
        <v>#NAME?</v>
      </c>
      <c r="AD20">
        <f t="shared" si="1310"/>
        <v>17</v>
      </c>
      <c r="AE20">
        <f t="shared" si="1307"/>
        <v>11.205574770625899</v>
      </c>
    </row>
    <row r="21">
      <c r="A21">
        <f t="shared" si="1308"/>
        <v>18</v>
      </c>
      <c r="B21">
        <v>12.652116416514845</v>
      </c>
      <c r="D21">
        <f t="shared" si="1309"/>
        <v>18</v>
      </c>
      <c r="E21">
        <f t="shared" si="1300"/>
        <v>0.75421275212060002</v>
      </c>
      <c r="F21" t="e">
        <f t="shared" si="1311"/>
        <v>#NAME?</v>
      </c>
      <c r="I21" t="s">
        <v>374</v>
      </c>
      <c r="J21" s="10" t="e">
        <f>J18*LN(J8/J18)+2*(J10+J11+1)</f>
        <v>#NAME?</v>
      </c>
      <c r="V21">
        <f t="shared" si="1301"/>
        <v>18</v>
      </c>
      <c r="W21">
        <f t="shared" si="1302"/>
        <v>0.75421275212060002</v>
      </c>
      <c r="X21" t="e">
        <f t="shared" si="1303"/>
        <v>#NAME?</v>
      </c>
      <c r="Y21" t="e">
        <f t="shared" si="1304"/>
        <v>#NAME?</v>
      </c>
      <c r="Z21" t="e">
        <f t="shared" si="1292"/>
        <v>#NAME?</v>
      </c>
      <c r="AA21" t="e">
        <f t="shared" si="1305"/>
        <v>#NAME?</v>
      </c>
      <c r="AB21" t="e">
        <f t="shared" si="1306"/>
        <v>#NAME?</v>
      </c>
      <c r="AD21">
        <f t="shared" si="1310"/>
        <v>18</v>
      </c>
      <c r="AE21">
        <f t="shared" si="1307"/>
        <v>12.652116416514801</v>
      </c>
    </row>
    <row r="22">
      <c r="A22">
        <f t="shared" si="1308"/>
        <v>19</v>
      </c>
      <c r="B22">
        <v>13.406329168635398</v>
      </c>
      <c r="D22">
        <f t="shared" si="1309"/>
        <v>19</v>
      </c>
      <c r="E22">
        <f t="shared" si="1300"/>
        <v>-1.1751112384514</v>
      </c>
      <c r="F22" t="e">
        <f t="shared" si="1311"/>
        <v>#NAME?</v>
      </c>
      <c r="I22" t="s">
        <v>508</v>
      </c>
      <c r="J22" s="10" t="e">
        <f>J18*LN(J8/J18)+LN(J18)*(J10+J11+1)</f>
        <v>#NAME?</v>
      </c>
      <c r="V22">
        <f t="shared" si="1301"/>
        <v>19</v>
      </c>
      <c r="W22">
        <f t="shared" si="1302"/>
        <v>-1.1751112384514</v>
      </c>
      <c r="X22" t="e">
        <f t="shared" si="1303"/>
        <v>#NAME?</v>
      </c>
      <c r="Y22" t="e">
        <f t="shared" si="1304"/>
        <v>#NAME?</v>
      </c>
      <c r="Z22" t="e">
        <f t="shared" si="1292"/>
        <v>#NAME?</v>
      </c>
      <c r="AA22" t="e">
        <f t="shared" si="1305"/>
        <v>#NAME?</v>
      </c>
      <c r="AB22" t="e">
        <f t="shared" si="1306"/>
        <v>#NAME?</v>
      </c>
      <c r="AD22">
        <f t="shared" si="1310"/>
        <v>19</v>
      </c>
      <c r="AE22">
        <f t="shared" si="1307"/>
        <v>13.4063291686354</v>
      </c>
    </row>
    <row r="23">
      <c r="A23">
        <f t="shared" si="1308"/>
        <v>20</v>
      </c>
      <c r="B23">
        <v>12.231217930183975</v>
      </c>
      <c r="D23">
        <f t="shared" si="1309"/>
        <v>20</v>
      </c>
      <c r="E23">
        <f t="shared" si="1300"/>
        <v>-0.1142434742248</v>
      </c>
      <c r="F23" t="e">
        <f t="shared" si="1311"/>
        <v>#NAME?</v>
      </c>
      <c r="I23" t="s">
        <v>509</v>
      </c>
      <c r="J23" s="10" t="e">
        <f>J18*(1+LN(2*PI()))+J21</f>
        <v>#NAME?</v>
      </c>
      <c r="V23">
        <f t="shared" si="1301"/>
        <v>20</v>
      </c>
      <c r="W23">
        <f t="shared" si="1302"/>
        <v>-0.1142434742248</v>
      </c>
      <c r="X23" t="e">
        <f t="shared" si="1303"/>
        <v>#NAME?</v>
      </c>
      <c r="Y23" t="e">
        <f t="shared" si="1304"/>
        <v>#NAME?</v>
      </c>
      <c r="Z23" t="e">
        <f t="shared" si="1292"/>
        <v>#NAME?</v>
      </c>
      <c r="AA23" t="e">
        <f t="shared" si="1305"/>
        <v>#NAME?</v>
      </c>
      <c r="AB23" t="e">
        <f t="shared" si="1306"/>
        <v>#NAME?</v>
      </c>
      <c r="AD23">
        <f t="shared" si="1310"/>
        <v>20</v>
      </c>
      <c r="AE23">
        <f t="shared" si="1307"/>
        <v>12.231217930184</v>
      </c>
    </row>
    <row r="24">
      <c r="A24">
        <f t="shared" si="1308"/>
        <v>21</v>
      </c>
      <c r="B24">
        <v>12.116974455959236</v>
      </c>
      <c r="D24">
        <f t="shared" si="1309"/>
        <v>21</v>
      </c>
      <c r="E24">
        <f t="shared" si="1300"/>
        <v>-1.6570855615983</v>
      </c>
      <c r="F24" t="e">
        <f t="shared" si="1311"/>
        <v>#NAME?</v>
      </c>
      <c r="I24" t="s">
        <v>510</v>
      </c>
      <c r="J24" s="13" t="e">
        <f>J18*(1+LN(2*PI()))+J22</f>
        <v>#NAME?</v>
      </c>
      <c r="V24">
        <f t="shared" si="1301"/>
        <v>21</v>
      </c>
      <c r="W24">
        <f t="shared" si="1302"/>
        <v>-1.6570855615983</v>
      </c>
      <c r="X24" t="e">
        <f t="shared" si="1303"/>
        <v>#NAME?</v>
      </c>
      <c r="Y24" t="e">
        <f t="shared" si="1304"/>
        <v>#NAME?</v>
      </c>
      <c r="Z24" t="e">
        <f t="shared" si="1292"/>
        <v>#NAME?</v>
      </c>
      <c r="AA24" t="e">
        <f t="shared" si="1305"/>
        <v>#NAME?</v>
      </c>
      <c r="AB24" t="e">
        <f t="shared" si="1306"/>
        <v>#NAME?</v>
      </c>
      <c r="AD24">
        <f t="shared" si="1310"/>
        <v>21</v>
      </c>
      <c r="AE24">
        <f t="shared" si="1307"/>
        <v>12.1169744559592</v>
      </c>
    </row>
    <row r="25">
      <c r="A25">
        <f t="shared" si="1308"/>
        <v>22</v>
      </c>
      <c r="B25">
        <v>10.45988889436091</v>
      </c>
      <c r="D25">
        <f t="shared" si="1309"/>
        <v>22</v>
      </c>
      <c r="E25">
        <f t="shared" si="1300"/>
        <v>-1.0134312232796701</v>
      </c>
      <c r="F25" t="e">
        <f t="shared" si="1311"/>
        <v>#NAME?</v>
      </c>
      <c r="V25">
        <f t="shared" si="1301"/>
        <v>22</v>
      </c>
      <c r="W25">
        <f t="shared" si="1302"/>
        <v>-1.0134312232796701</v>
      </c>
      <c r="X25" t="e">
        <f t="shared" si="1303"/>
        <v>#NAME?</v>
      </c>
      <c r="Y25" t="e">
        <f t="shared" si="1304"/>
        <v>#NAME?</v>
      </c>
      <c r="Z25" t="e">
        <f t="shared" si="1292"/>
        <v>#NAME?</v>
      </c>
      <c r="AA25" t="e">
        <f t="shared" si="1305"/>
        <v>#NAME?</v>
      </c>
      <c r="AB25" t="e">
        <f t="shared" si="1306"/>
        <v>#NAME?</v>
      </c>
      <c r="AD25">
        <f t="shared" si="1310"/>
        <v>22</v>
      </c>
      <c r="AE25">
        <f t="shared" si="1307"/>
        <v>10.459888894360899</v>
      </c>
    </row>
    <row r="26">
      <c r="A26">
        <f t="shared" si="1308"/>
        <v>23</v>
      </c>
      <c r="B26">
        <v>9.4464576710812267</v>
      </c>
      <c r="D26">
        <f t="shared" si="1309"/>
        <v>23</v>
      </c>
      <c r="E26">
        <f t="shared" si="1300"/>
        <v>1.7345727637130699</v>
      </c>
      <c r="F26" t="e">
        <f t="shared" si="1311"/>
        <v>#NAME?</v>
      </c>
      <c r="V26">
        <f t="shared" si="1301"/>
        <v>23</v>
      </c>
      <c r="W26">
        <f t="shared" si="1302"/>
        <v>1.7345727637130699</v>
      </c>
      <c r="X26" t="e">
        <f t="shared" si="1303"/>
        <v>#NAME?</v>
      </c>
      <c r="Y26" t="e">
        <f t="shared" si="1304"/>
        <v>#NAME?</v>
      </c>
      <c r="Z26" t="e">
        <f t="shared" si="1292"/>
        <v>#NAME?</v>
      </c>
      <c r="AA26" t="e">
        <f t="shared" si="1305"/>
        <v>#NAME?</v>
      </c>
      <c r="AB26" t="e">
        <f t="shared" si="1306"/>
        <v>#NAME?</v>
      </c>
      <c r="AD26">
        <f t="shared" si="1310"/>
        <v>23</v>
      </c>
      <c r="AE26">
        <f t="shared" si="1307"/>
        <v>9.4464576710812302</v>
      </c>
    </row>
    <row r="27">
      <c r="A27">
        <f t="shared" si="1308"/>
        <v>24</v>
      </c>
      <c r="B27">
        <v>11.181030434794319</v>
      </c>
      <c r="D27">
        <f t="shared" si="1309"/>
        <v>24</v>
      </c>
      <c r="E27">
        <f t="shared" si="1300"/>
        <v>-3.5956702184486198</v>
      </c>
      <c r="F27" t="e">
        <f t="shared" si="1311"/>
        <v>#NAME?</v>
      </c>
      <c r="V27">
        <f t="shared" si="1301"/>
        <v>24</v>
      </c>
      <c r="W27">
        <f t="shared" si="1302"/>
        <v>-3.5956702184486198</v>
      </c>
      <c r="X27" t="e">
        <f t="shared" si="1303"/>
        <v>#NAME?</v>
      </c>
      <c r="Y27" t="e">
        <f t="shared" si="1304"/>
        <v>#NAME?</v>
      </c>
      <c r="Z27" t="e">
        <f t="shared" si="1292"/>
        <v>#NAME?</v>
      </c>
      <c r="AA27" t="e">
        <f t="shared" si="1305"/>
        <v>#NAME?</v>
      </c>
      <c r="AB27" t="e">
        <f t="shared" si="1306"/>
        <v>#NAME?</v>
      </c>
      <c r="AD27">
        <f t="shared" si="1310"/>
        <v>24</v>
      </c>
      <c r="AE27">
        <f t="shared" si="1307"/>
        <v>11.1810304347943</v>
      </c>
    </row>
    <row r="28">
      <c r="A28">
        <f t="shared" si="1308"/>
        <v>25</v>
      </c>
      <c r="B28">
        <v>7.5853602163456753</v>
      </c>
      <c r="D28">
        <f t="shared" si="1309"/>
        <v>25</v>
      </c>
      <c r="E28">
        <f t="shared" si="1300"/>
        <v>3.3931716450660199</v>
      </c>
      <c r="F28" t="e">
        <f t="shared" si="1311"/>
        <v>#NAME?</v>
      </c>
      <c r="V28">
        <f t="shared" si="1301"/>
        <v>25</v>
      </c>
      <c r="W28">
        <f t="shared" si="1302"/>
        <v>3.3931716450660199</v>
      </c>
      <c r="X28" t="e">
        <f t="shared" si="1303"/>
        <v>#NAME?</v>
      </c>
      <c r="Y28" t="e">
        <f t="shared" si="1304"/>
        <v>#NAME?</v>
      </c>
      <c r="Z28" t="e">
        <f t="shared" si="1292"/>
        <v>#NAME?</v>
      </c>
      <c r="AA28" t="e">
        <f t="shared" si="1305"/>
        <v>#NAME?</v>
      </c>
      <c r="AB28" t="e">
        <f t="shared" si="1306"/>
        <v>#NAME?</v>
      </c>
      <c r="AD28">
        <f t="shared" si="1310"/>
        <v>25</v>
      </c>
      <c r="AE28">
        <f t="shared" si="1307"/>
        <v>7.5853602163456797</v>
      </c>
    </row>
    <row r="29">
      <c r="A29">
        <f t="shared" si="1308"/>
        <v>26</v>
      </c>
      <c r="B29">
        <v>10.978531861411668</v>
      </c>
      <c r="D29">
        <f t="shared" si="1309"/>
        <v>26</v>
      </c>
      <c r="E29">
        <f t="shared" si="1300"/>
        <v>-0.428306652786001</v>
      </c>
      <c r="F29" t="e">
        <f t="shared" si="1311"/>
        <v>#NAME?</v>
      </c>
      <c r="V29">
        <f t="shared" si="1301"/>
        <v>26</v>
      </c>
      <c r="W29">
        <f t="shared" si="1302"/>
        <v>-0.428306652786001</v>
      </c>
      <c r="X29" t="e">
        <f t="shared" si="1303"/>
        <v>#NAME?</v>
      </c>
      <c r="Y29" t="e">
        <f t="shared" si="1304"/>
        <v>#NAME?</v>
      </c>
      <c r="Z29" t="e">
        <f t="shared" si="1292"/>
        <v>#NAME?</v>
      </c>
      <c r="AA29" t="e">
        <f t="shared" si="1305"/>
        <v>#NAME?</v>
      </c>
      <c r="AB29" t="e">
        <f t="shared" si="1306"/>
        <v>#NAME?</v>
      </c>
      <c r="AD29">
        <f t="shared" si="1310"/>
        <v>26</v>
      </c>
      <c r="AE29">
        <f t="shared" si="1307"/>
        <v>10.9785318614117</v>
      </c>
    </row>
    <row r="30">
      <c r="A30">
        <f t="shared" si="1308"/>
        <v>27</v>
      </c>
      <c r="B30">
        <v>10.550225208625736</v>
      </c>
      <c r="D30">
        <f t="shared" si="1309"/>
        <v>27</v>
      </c>
      <c r="E30">
        <f t="shared" si="1300"/>
        <v>0.67723622241930104</v>
      </c>
      <c r="F30" t="e">
        <f t="shared" si="1311"/>
        <v>#NAME?</v>
      </c>
      <c r="V30">
        <f t="shared" si="1301"/>
        <v>27</v>
      </c>
      <c r="W30">
        <f t="shared" si="1302"/>
        <v>0.67723622241930104</v>
      </c>
      <c r="X30" t="e">
        <f t="shared" si="1303"/>
        <v>#NAME?</v>
      </c>
      <c r="Y30" t="e">
        <f t="shared" si="1304"/>
        <v>#NAME?</v>
      </c>
      <c r="Z30" t="e">
        <f t="shared" si="1292"/>
        <v>#NAME?</v>
      </c>
      <c r="AA30" t="e">
        <f t="shared" si="1305"/>
        <v>#NAME?</v>
      </c>
      <c r="AB30" t="e">
        <f t="shared" si="1306"/>
        <v>#NAME?</v>
      </c>
      <c r="AD30">
        <f t="shared" si="1310"/>
        <v>27</v>
      </c>
      <c r="AE30">
        <f t="shared" si="1307"/>
        <v>10.550225208625699</v>
      </c>
    </row>
    <row r="31">
      <c r="A31">
        <f t="shared" si="1308"/>
        <v>28</v>
      </c>
      <c r="B31">
        <v>11.227461431044995</v>
      </c>
      <c r="D31">
        <f t="shared" si="1309"/>
        <v>28</v>
      </c>
      <c r="E31">
        <f t="shared" si="1300"/>
        <v>-2.15129010551331</v>
      </c>
      <c r="F31" t="e">
        <f t="shared" si="1311"/>
        <v>#NAME?</v>
      </c>
      <c r="V31">
        <f t="shared" si="1301"/>
        <v>28</v>
      </c>
      <c r="W31">
        <f t="shared" si="1302"/>
        <v>-2.15129010551331</v>
      </c>
      <c r="X31" t="e">
        <f t="shared" si="1303"/>
        <v>#NAME?</v>
      </c>
      <c r="Y31" t="e">
        <f t="shared" si="1304"/>
        <v>#NAME?</v>
      </c>
      <c r="Z31" t="e">
        <f t="shared" si="1292"/>
        <v>#NAME?</v>
      </c>
      <c r="AA31" t="e">
        <f t="shared" si="1305"/>
        <v>#NAME?</v>
      </c>
      <c r="AB31" t="e">
        <f t="shared" si="1306"/>
        <v>#NAME?</v>
      </c>
      <c r="AD31">
        <f t="shared" si="1310"/>
        <v>28</v>
      </c>
      <c r="AE31">
        <f t="shared" si="1307"/>
        <v>11.227461431045</v>
      </c>
    </row>
    <row r="32">
      <c r="A32">
        <f t="shared" si="1308"/>
        <v>29</v>
      </c>
      <c r="B32">
        <v>9.0761713255316874</v>
      </c>
      <c r="D32">
        <f t="shared" si="1309"/>
        <v>29</v>
      </c>
      <c r="E32">
        <f t="shared" si="1300"/>
        <v>0.83332432537684986</v>
      </c>
      <c r="F32" t="e">
        <f t="shared" si="1311"/>
        <v>#NAME?</v>
      </c>
      <c r="V32">
        <f t="shared" si="1301"/>
        <v>29</v>
      </c>
      <c r="W32">
        <f t="shared" si="1302"/>
        <v>0.83332432537684986</v>
      </c>
      <c r="X32" t="e">
        <f t="shared" si="1303"/>
        <v>#NAME?</v>
      </c>
      <c r="Y32" t="e">
        <f t="shared" si="1304"/>
        <v>#NAME?</v>
      </c>
      <c r="Z32" t="e">
        <f t="shared" si="1292"/>
        <v>#NAME?</v>
      </c>
      <c r="AA32" t="e">
        <f t="shared" si="1305"/>
        <v>#NAME?</v>
      </c>
      <c r="AB32" t="e">
        <f t="shared" si="1306"/>
        <v>#NAME?</v>
      </c>
      <c r="AD32">
        <f t="shared" si="1310"/>
        <v>29</v>
      </c>
      <c r="AE32">
        <f t="shared" si="1307"/>
        <v>9.0761713255316891</v>
      </c>
    </row>
    <row r="33">
      <c r="A33">
        <f t="shared" si="1308"/>
        <v>30</v>
      </c>
      <c r="B33">
        <v>9.9094956509085357</v>
      </c>
      <c r="D33">
        <f t="shared" si="1309"/>
        <v>30</v>
      </c>
      <c r="E33">
        <f t="shared" si="1300"/>
        <v>1.7741399200725601</v>
      </c>
      <c r="F33" t="e">
        <f t="shared" si="1311"/>
        <v>#NAME?</v>
      </c>
      <c r="V33">
        <f t="shared" si="1301"/>
        <v>30</v>
      </c>
      <c r="W33">
        <f t="shared" si="1302"/>
        <v>1.7741399200725601</v>
      </c>
      <c r="X33" t="e">
        <f t="shared" si="1303"/>
        <v>#NAME?</v>
      </c>
      <c r="Y33" t="e">
        <f t="shared" si="1304"/>
        <v>#NAME?</v>
      </c>
      <c r="Z33" t="e">
        <f t="shared" si="1292"/>
        <v>#NAME?</v>
      </c>
      <c r="AA33" t="e">
        <f t="shared" si="1305"/>
        <v>#NAME?</v>
      </c>
      <c r="AB33" t="e">
        <f t="shared" si="1306"/>
        <v>#NAME?</v>
      </c>
      <c r="AD33">
        <f t="shared" si="1310"/>
        <v>30</v>
      </c>
      <c r="AE33">
        <f t="shared" si="1307"/>
        <v>9.9094956509085392</v>
      </c>
    </row>
    <row r="34">
      <c r="A34">
        <f t="shared" si="1308"/>
        <v>31</v>
      </c>
      <c r="B34">
        <v>11.683635570981137</v>
      </c>
      <c r="D34">
        <f t="shared" si="1309"/>
        <v>31</v>
      </c>
      <c r="E34">
        <f t="shared" si="1300"/>
        <v>-2.29451746193544</v>
      </c>
      <c r="F34" t="e">
        <f t="shared" si="1311"/>
        <v>#NAME?</v>
      </c>
      <c r="V34">
        <f t="shared" si="1301"/>
        <v>31</v>
      </c>
      <c r="W34">
        <f t="shared" si="1302"/>
        <v>-2.29451746193544</v>
      </c>
      <c r="X34" t="e">
        <f t="shared" si="1303"/>
        <v>#NAME?</v>
      </c>
      <c r="Y34" t="e">
        <f t="shared" si="1304"/>
        <v>#NAME?</v>
      </c>
      <c r="Z34" t="e">
        <f t="shared" si="1292"/>
        <v>#NAME?</v>
      </c>
      <c r="AA34" t="e">
        <f t="shared" si="1305"/>
        <v>#NAME?</v>
      </c>
      <c r="AB34" t="e">
        <f t="shared" si="1306"/>
        <v>#NAME?</v>
      </c>
      <c r="AD34">
        <f t="shared" si="1310"/>
        <v>31</v>
      </c>
      <c r="AE34">
        <f t="shared" si="1307"/>
        <v>11.6836355709811</v>
      </c>
    </row>
    <row r="35">
      <c r="A35">
        <f t="shared" si="1308"/>
        <v>32</v>
      </c>
      <c r="B35">
        <v>9.3891181090456559</v>
      </c>
      <c r="D35">
        <f t="shared" si="1309"/>
        <v>32</v>
      </c>
      <c r="E35">
        <f t="shared" si="1300"/>
        <v>1.89184924391794</v>
      </c>
      <c r="F35" t="e">
        <f t="shared" si="1311"/>
        <v>#NAME?</v>
      </c>
      <c r="V35">
        <f t="shared" si="1301"/>
        <v>32</v>
      </c>
      <c r="W35">
        <f t="shared" si="1302"/>
        <v>1.89184924391794</v>
      </c>
      <c r="X35" t="e">
        <f t="shared" si="1303"/>
        <v>#NAME?</v>
      </c>
      <c r="Y35" t="e">
        <f t="shared" si="1304"/>
        <v>#NAME?</v>
      </c>
      <c r="Z35" t="e">
        <f t="shared" si="1292"/>
        <v>#NAME?</v>
      </c>
      <c r="AA35" t="e">
        <f t="shared" si="1305"/>
        <v>#NAME?</v>
      </c>
      <c r="AB35" t="e">
        <f t="shared" si="1306"/>
        <v>#NAME?</v>
      </c>
      <c r="AD35">
        <f t="shared" si="1310"/>
        <v>32</v>
      </c>
      <c r="AE35">
        <f t="shared" si="1307"/>
        <v>9.3891181090456595</v>
      </c>
    </row>
    <row r="36">
      <c r="A36">
        <f t="shared" si="1308"/>
        <v>33</v>
      </c>
      <c r="B36">
        <v>11.280967352963559</v>
      </c>
      <c r="D36">
        <f t="shared" si="1309"/>
        <v>33</v>
      </c>
      <c r="E36">
        <f t="shared" si="1300"/>
        <v>-2.2032672986262298</v>
      </c>
      <c r="F36" t="e">
        <f t="shared" si="1311"/>
        <v>#NAME?</v>
      </c>
      <c r="V36">
        <f t="shared" si="1301"/>
        <v>33</v>
      </c>
      <c r="W36">
        <f t="shared" si="1302"/>
        <v>-2.2032672986262298</v>
      </c>
      <c r="X36" t="e">
        <f t="shared" si="1303"/>
        <v>#NAME?</v>
      </c>
      <c r="Y36" t="e">
        <f t="shared" si="1304"/>
        <v>#NAME?</v>
      </c>
      <c r="Z36" t="e">
        <f t="shared" si="1292"/>
        <v>#NAME?</v>
      </c>
      <c r="AA36" t="e">
        <f t="shared" si="1305"/>
        <v>#NAME?</v>
      </c>
      <c r="AB36" t="e">
        <f t="shared" si="1306"/>
        <v>#NAME?</v>
      </c>
      <c r="AD36">
        <f t="shared" si="1310"/>
        <v>33</v>
      </c>
      <c r="AE36">
        <f t="shared" si="1307"/>
        <v>11.2809673529636</v>
      </c>
    </row>
    <row r="37">
      <c r="A37">
        <f t="shared" si="1308"/>
        <v>34</v>
      </c>
      <c r="B37">
        <v>9.0777000543373685</v>
      </c>
      <c r="D37">
        <f t="shared" si="1309"/>
        <v>34</v>
      </c>
      <c r="E37">
        <f t="shared" si="1300"/>
        <v>0.34415202537282003</v>
      </c>
      <c r="F37" t="e">
        <f t="shared" si="1311"/>
        <v>#NAME?</v>
      </c>
      <c r="V37">
        <f t="shared" si="1301"/>
        <v>34</v>
      </c>
      <c r="W37">
        <f t="shared" si="1302"/>
        <v>0.34415202537282003</v>
      </c>
      <c r="X37" t="e">
        <f t="shared" si="1303"/>
        <v>#NAME?</v>
      </c>
      <c r="Y37" t="e">
        <f t="shared" si="1304"/>
        <v>#NAME?</v>
      </c>
      <c r="Z37" t="e">
        <f t="shared" si="1292"/>
        <v>#NAME?</v>
      </c>
      <c r="AA37" t="e">
        <f t="shared" si="1305"/>
        <v>#NAME?</v>
      </c>
      <c r="AB37" t="e">
        <f t="shared" si="1306"/>
        <v>#NAME?</v>
      </c>
      <c r="AD37">
        <f t="shared" si="1310"/>
        <v>34</v>
      </c>
      <c r="AE37">
        <f t="shared" si="1307"/>
        <v>9.0777000543373703</v>
      </c>
    </row>
    <row r="38">
      <c r="A38">
        <f t="shared" si="1308"/>
        <v>35</v>
      </c>
      <c r="B38">
        <v>9.4218520797101899</v>
      </c>
      <c r="D38">
        <f t="shared" si="1309"/>
        <v>35</v>
      </c>
      <c r="E38">
        <f t="shared" si="1300"/>
        <v>1.3468186870160099</v>
      </c>
      <c r="F38" t="e">
        <f t="shared" si="1311"/>
        <v>#NAME?</v>
      </c>
      <c r="V38">
        <f t="shared" si="1301"/>
        <v>35</v>
      </c>
      <c r="W38">
        <f t="shared" si="1302"/>
        <v>1.3468186870160099</v>
      </c>
      <c r="X38" t="e">
        <f t="shared" si="1303"/>
        <v>#NAME?</v>
      </c>
      <c r="Y38" t="e">
        <f t="shared" si="1304"/>
        <v>#NAME?</v>
      </c>
      <c r="Z38" t="e">
        <f t="shared" si="1292"/>
        <v>#NAME?</v>
      </c>
      <c r="AA38" t="e">
        <f t="shared" si="1305"/>
        <v>#NAME?</v>
      </c>
      <c r="AB38" t="e">
        <f t="shared" si="1306"/>
        <v>#NAME?</v>
      </c>
      <c r="AD38">
        <f t="shared" si="1310"/>
        <v>35</v>
      </c>
      <c r="AE38">
        <f t="shared" si="1307"/>
        <v>9.4218520797101899</v>
      </c>
    </row>
    <row r="39">
      <c r="A39">
        <f t="shared" si="1308"/>
        <v>36</v>
      </c>
      <c r="B39">
        <v>10.768670766726222</v>
      </c>
      <c r="D39">
        <f t="shared" si="1309"/>
        <v>36</v>
      </c>
      <c r="E39">
        <f t="shared" si="1300"/>
        <v>-0.72398434050559901</v>
      </c>
      <c r="F39" t="e">
        <f t="shared" si="1311"/>
        <v>#NAME?</v>
      </c>
      <c r="V39">
        <f t="shared" si="1301"/>
        <v>36</v>
      </c>
      <c r="W39">
        <f t="shared" si="1302"/>
        <v>-0.72398434050559901</v>
      </c>
      <c r="X39" t="e">
        <f t="shared" si="1303"/>
        <v>#NAME?</v>
      </c>
      <c r="Y39" t="e">
        <f t="shared" si="1304"/>
        <v>#NAME?</v>
      </c>
      <c r="Z39" t="e">
        <f t="shared" si="1292"/>
        <v>#NAME?</v>
      </c>
      <c r="AA39" t="e">
        <f t="shared" si="1305"/>
        <v>#NAME?</v>
      </c>
      <c r="AB39" t="e">
        <f t="shared" si="1306"/>
        <v>#NAME?</v>
      </c>
      <c r="AD39">
        <f t="shared" si="1310"/>
        <v>36</v>
      </c>
      <c r="AE39">
        <f t="shared" si="1307"/>
        <v>10.768670766726199</v>
      </c>
    </row>
    <row r="40">
      <c r="A40">
        <f t="shared" si="1308"/>
        <v>37</v>
      </c>
      <c r="B40">
        <v>10.044686426220611</v>
      </c>
      <c r="D40">
        <f t="shared" si="1309"/>
        <v>37</v>
      </c>
      <c r="E40">
        <f t="shared" si="1300"/>
        <v>-0.54203888534849998</v>
      </c>
      <c r="F40" t="e">
        <f t="shared" si="1311"/>
        <v>#NAME?</v>
      </c>
      <c r="V40">
        <f t="shared" si="1301"/>
        <v>37</v>
      </c>
      <c r="W40">
        <f t="shared" si="1302"/>
        <v>-0.54203888534849998</v>
      </c>
      <c r="X40" t="e">
        <f t="shared" si="1303"/>
        <v>#NAME?</v>
      </c>
      <c r="Y40" t="e">
        <f t="shared" si="1304"/>
        <v>#NAME?</v>
      </c>
      <c r="Z40" t="e">
        <f t="shared" si="1292"/>
        <v>#NAME?</v>
      </c>
      <c r="AA40" t="e">
        <f t="shared" si="1305"/>
        <v>#NAME?</v>
      </c>
      <c r="AB40" t="e">
        <f t="shared" si="1306"/>
        <v>#NAME?</v>
      </c>
      <c r="AD40">
        <f t="shared" si="1310"/>
        <v>37</v>
      </c>
      <c r="AE40">
        <f t="shared" si="1307"/>
        <v>10.044686426220601</v>
      </c>
    </row>
    <row r="41">
      <c r="A41">
        <f t="shared" si="1308"/>
        <v>38</v>
      </c>
      <c r="B41">
        <v>9.5026475408720934</v>
      </c>
      <c r="D41">
        <f t="shared" si="1309"/>
        <v>38</v>
      </c>
      <c r="E41">
        <f t="shared" si="1300"/>
        <v>2.5139876043378</v>
      </c>
      <c r="F41" t="e">
        <f t="shared" si="1311"/>
        <v>#NAME?</v>
      </c>
      <c r="V41">
        <f t="shared" si="1301"/>
        <v>38</v>
      </c>
      <c r="W41">
        <f t="shared" si="1302"/>
        <v>2.5139876043378</v>
      </c>
      <c r="X41" t="e">
        <f t="shared" si="1303"/>
        <v>#NAME?</v>
      </c>
      <c r="Y41" t="e">
        <f t="shared" si="1304"/>
        <v>#NAME?</v>
      </c>
      <c r="Z41" t="e">
        <f t="shared" si="1292"/>
        <v>#NAME?</v>
      </c>
      <c r="AA41" t="e">
        <f t="shared" si="1305"/>
        <v>#NAME?</v>
      </c>
      <c r="AB41" t="e">
        <f t="shared" si="1306"/>
        <v>#NAME?</v>
      </c>
      <c r="AD41">
        <f t="shared" si="1310"/>
        <v>38</v>
      </c>
      <c r="AE41">
        <f t="shared" si="1307"/>
        <v>9.5026475408721005</v>
      </c>
    </row>
    <row r="42">
      <c r="A42">
        <f t="shared" si="1308"/>
        <v>39</v>
      </c>
      <c r="B42">
        <v>12.016635145209888</v>
      </c>
      <c r="D42">
        <f t="shared" si="1309"/>
        <v>39</v>
      </c>
      <c r="E42">
        <f t="shared" si="1300"/>
        <v>-2.4090527207463399</v>
      </c>
      <c r="F42" t="e">
        <f t="shared" si="1311"/>
        <v>#NAME?</v>
      </c>
      <c r="V42">
        <f t="shared" si="1301"/>
        <v>39</v>
      </c>
      <c r="W42">
        <f t="shared" si="1302"/>
        <v>-2.4090527207463399</v>
      </c>
      <c r="X42" t="e">
        <f t="shared" si="1303"/>
        <v>#NAME?</v>
      </c>
      <c r="Y42" t="e">
        <f t="shared" si="1304"/>
        <v>#NAME?</v>
      </c>
      <c r="Z42" t="e">
        <f t="shared" si="1292"/>
        <v>#NAME?</v>
      </c>
      <c r="AA42" t="e">
        <f t="shared" si="1305"/>
        <v>#NAME?</v>
      </c>
      <c r="AB42" t="e">
        <f t="shared" si="1306"/>
        <v>#NAME?</v>
      </c>
      <c r="AD42">
        <f t="shared" si="1310"/>
        <v>39</v>
      </c>
      <c r="AE42">
        <f t="shared" si="1307"/>
        <v>12.0166351452099</v>
      </c>
    </row>
    <row r="43">
      <c r="A43">
        <f t="shared" si="1308"/>
        <v>40</v>
      </c>
      <c r="B43">
        <v>9.6075824244635548</v>
      </c>
      <c r="D43">
        <f t="shared" si="1309"/>
        <v>40</v>
      </c>
      <c r="E43">
        <f t="shared" si="1300"/>
        <v>0.87121628214643998</v>
      </c>
      <c r="F43" t="e">
        <f t="shared" si="1311"/>
        <v>#NAME?</v>
      </c>
      <c r="V43">
        <f t="shared" si="1301"/>
        <v>40</v>
      </c>
      <c r="W43">
        <f t="shared" si="1302"/>
        <v>0.87121628214643998</v>
      </c>
      <c r="X43" t="e">
        <f t="shared" si="1303"/>
        <v>#NAME?</v>
      </c>
      <c r="Y43" t="e">
        <f t="shared" si="1304"/>
        <v>#NAME?</v>
      </c>
      <c r="Z43" t="e">
        <f t="shared" si="1292"/>
        <v>#NAME?</v>
      </c>
      <c r="AA43" t="e">
        <f t="shared" si="1305"/>
        <v>#NAME?</v>
      </c>
      <c r="AB43" t="e">
        <f t="shared" si="1306"/>
        <v>#NAME?</v>
      </c>
      <c r="AD43">
        <f t="shared" si="1310"/>
        <v>40</v>
      </c>
      <c r="AE43">
        <f t="shared" si="1307"/>
        <v>9.6075824244635601</v>
      </c>
    </row>
    <row r="44">
      <c r="A44">
        <f t="shared" si="1308"/>
        <v>41</v>
      </c>
      <c r="B44">
        <v>10.47879870661002</v>
      </c>
      <c r="D44">
        <f t="shared" si="1309"/>
        <v>41</v>
      </c>
      <c r="E44">
        <f t="shared" si="1300"/>
        <v>-0.3476527104919</v>
      </c>
      <c r="F44" t="e">
        <f t="shared" si="1311"/>
        <v>#NAME?</v>
      </c>
      <c r="V44">
        <f t="shared" si="1301"/>
        <v>41</v>
      </c>
      <c r="W44">
        <f t="shared" si="1302"/>
        <v>-0.3476527104919</v>
      </c>
      <c r="X44" t="e">
        <f t="shared" si="1303"/>
        <v>#NAME?</v>
      </c>
      <c r="Y44" t="e">
        <f t="shared" si="1304"/>
        <v>#NAME?</v>
      </c>
      <c r="Z44" t="e">
        <f t="shared" si="1292"/>
        <v>#NAME?</v>
      </c>
      <c r="AA44" t="e">
        <f t="shared" si="1305"/>
        <v>#NAME?</v>
      </c>
      <c r="AB44" t="e">
        <f t="shared" si="1306"/>
        <v>#NAME?</v>
      </c>
      <c r="AD44">
        <f t="shared" si="1310"/>
        <v>41</v>
      </c>
      <c r="AE44">
        <f t="shared" si="1307"/>
        <v>10.47879870661</v>
      </c>
    </row>
    <row r="45">
      <c r="A45">
        <f t="shared" si="1308"/>
        <v>42</v>
      </c>
      <c r="B45">
        <v>10.131145996118136</v>
      </c>
      <c r="D45">
        <f t="shared" si="1309"/>
        <v>42</v>
      </c>
      <c r="E45">
        <f t="shared" si="1300"/>
        <v>-0.82089300302415003</v>
      </c>
      <c r="F45" t="e">
        <f t="shared" si="1311"/>
        <v>#NAME?</v>
      </c>
      <c r="V45">
        <f t="shared" si="1301"/>
        <v>42</v>
      </c>
      <c r="W45">
        <f t="shared" si="1302"/>
        <v>-0.82089300302415003</v>
      </c>
      <c r="X45" t="e">
        <f t="shared" si="1303"/>
        <v>#NAME?</v>
      </c>
      <c r="Y45" t="e">
        <f t="shared" si="1304"/>
        <v>#NAME?</v>
      </c>
      <c r="Z45" t="e">
        <f t="shared" si="1292"/>
        <v>#NAME?</v>
      </c>
      <c r="AA45" t="e">
        <f t="shared" si="1305"/>
        <v>#NAME?</v>
      </c>
      <c r="AB45" t="e">
        <f t="shared" si="1306"/>
        <v>#NAME?</v>
      </c>
      <c r="AD45">
        <f t="shared" si="1310"/>
        <v>42</v>
      </c>
      <c r="AE45">
        <f t="shared" si="1307"/>
        <v>10.1311459961181</v>
      </c>
    </row>
    <row r="46">
      <c r="A46">
        <f t="shared" si="1308"/>
        <v>43</v>
      </c>
      <c r="B46">
        <v>9.3102529930939451</v>
      </c>
      <c r="D46">
        <f t="shared" si="1309"/>
        <v>43</v>
      </c>
      <c r="E46">
        <f t="shared" si="1300"/>
        <v>0.64298446388596997</v>
      </c>
      <c r="F46" t="e">
        <f t="shared" si="1311"/>
        <v>#NAME?</v>
      </c>
      <c r="V46">
        <f t="shared" si="1301"/>
        <v>43</v>
      </c>
      <c r="W46">
        <f t="shared" si="1302"/>
        <v>0.64298446388596997</v>
      </c>
      <c r="X46" t="e">
        <f t="shared" si="1303"/>
        <v>#NAME?</v>
      </c>
      <c r="Y46" t="e">
        <f t="shared" si="1304"/>
        <v>#NAME?</v>
      </c>
      <c r="Z46" t="e">
        <f t="shared" si="1292"/>
        <v>#NAME?</v>
      </c>
      <c r="AA46" t="e">
        <f t="shared" si="1305"/>
        <v>#NAME?</v>
      </c>
      <c r="AB46" t="e">
        <f t="shared" si="1306"/>
        <v>#NAME?</v>
      </c>
      <c r="AD46">
        <f t="shared" si="1310"/>
        <v>43</v>
      </c>
      <c r="AE46">
        <f t="shared" si="1307"/>
        <v>9.3102529930939504</v>
      </c>
    </row>
    <row r="47">
      <c r="A47">
        <f t="shared" si="1308"/>
        <v>44</v>
      </c>
      <c r="B47">
        <v>9.9532374569799149</v>
      </c>
      <c r="D47">
        <f t="shared" si="1309"/>
        <v>44</v>
      </c>
      <c r="E47">
        <f t="shared" si="1300"/>
        <v>-2.1154482950360001e-02</v>
      </c>
      <c r="F47" t="e">
        <f t="shared" si="1311"/>
        <v>#NAME?</v>
      </c>
      <c r="V47">
        <f t="shared" si="1301"/>
        <v>44</v>
      </c>
      <c r="W47">
        <f t="shared" si="1302"/>
        <v>-2.1154482950360001e-02</v>
      </c>
      <c r="X47" t="e">
        <f t="shared" si="1303"/>
        <v>#NAME?</v>
      </c>
      <c r="Y47" t="e">
        <f t="shared" si="1304"/>
        <v>#NAME?</v>
      </c>
      <c r="Z47" t="e">
        <f t="shared" si="1292"/>
        <v>#NAME?</v>
      </c>
      <c r="AA47" t="e">
        <f t="shared" si="1305"/>
        <v>#NAME?</v>
      </c>
      <c r="AB47" t="e">
        <f t="shared" si="1306"/>
        <v>#NAME?</v>
      </c>
      <c r="AD47">
        <f t="shared" si="1310"/>
        <v>44</v>
      </c>
      <c r="AE47">
        <f t="shared" si="1307"/>
        <v>9.9532374569799202</v>
      </c>
    </row>
    <row r="48">
      <c r="A48">
        <f t="shared" si="1308"/>
        <v>45</v>
      </c>
      <c r="B48">
        <v>9.9320829740295604</v>
      </c>
      <c r="D48">
        <f t="shared" si="1309"/>
        <v>45</v>
      </c>
      <c r="E48">
        <f t="shared" si="1300"/>
        <v>1.7030190054590399</v>
      </c>
      <c r="F48" t="e">
        <f t="shared" si="1311"/>
        <v>#NAME?</v>
      </c>
      <c r="V48">
        <f t="shared" si="1301"/>
        <v>45</v>
      </c>
      <c r="W48">
        <f t="shared" si="1302"/>
        <v>1.7030190054590399</v>
      </c>
      <c r="X48" t="e">
        <f t="shared" si="1303"/>
        <v>#NAME?</v>
      </c>
      <c r="Y48" t="e">
        <f t="shared" si="1304"/>
        <v>#NAME?</v>
      </c>
      <c r="Z48" t="e">
        <f t="shared" si="1292"/>
        <v>#NAME?</v>
      </c>
      <c r="AA48" t="e">
        <f t="shared" si="1305"/>
        <v>#NAME?</v>
      </c>
      <c r="AB48" t="e">
        <f t="shared" si="1306"/>
        <v>#NAME?</v>
      </c>
      <c r="AD48">
        <f t="shared" si="1310"/>
        <v>45</v>
      </c>
      <c r="AE48">
        <f t="shared" si="1307"/>
        <v>9.9320829740295604</v>
      </c>
    </row>
    <row r="49">
      <c r="A49">
        <f t="shared" si="1308"/>
        <v>46</v>
      </c>
      <c r="B49">
        <v>11.635101979488615</v>
      </c>
      <c r="D49">
        <f t="shared" si="1309"/>
        <v>46</v>
      </c>
      <c r="E49">
        <f t="shared" si="1300"/>
        <v>-1.2068591570903999</v>
      </c>
      <c r="F49" t="e">
        <f t="shared" si="1311"/>
        <v>#NAME?</v>
      </c>
      <c r="V49">
        <f t="shared" si="1301"/>
        <v>46</v>
      </c>
      <c r="W49">
        <f t="shared" si="1302"/>
        <v>-1.2068591570903999</v>
      </c>
      <c r="X49" t="e">
        <f t="shared" si="1303"/>
        <v>#NAME?</v>
      </c>
      <c r="Y49" t="e">
        <f t="shared" si="1304"/>
        <v>#NAME?</v>
      </c>
      <c r="Z49" t="e">
        <f t="shared" si="1292"/>
        <v>#NAME?</v>
      </c>
      <c r="AA49" t="e">
        <f t="shared" si="1305"/>
        <v>#NAME?</v>
      </c>
      <c r="AB49" t="e">
        <f t="shared" si="1306"/>
        <v>#NAME?</v>
      </c>
      <c r="AD49">
        <f t="shared" si="1310"/>
        <v>46</v>
      </c>
      <c r="AE49">
        <f t="shared" si="1307"/>
        <v>11.635101979488599</v>
      </c>
    </row>
    <row r="50">
      <c r="A50">
        <f t="shared" si="1308"/>
        <v>47</v>
      </c>
      <c r="B50">
        <v>10.428242822398191</v>
      </c>
      <c r="D50">
        <f t="shared" si="1309"/>
        <v>47</v>
      </c>
      <c r="E50">
        <f t="shared" si="1300"/>
        <v>-0.73401213664844001</v>
      </c>
      <c r="F50" t="e">
        <f t="shared" si="1311"/>
        <v>#NAME?</v>
      </c>
      <c r="V50">
        <f t="shared" si="1301"/>
        <v>47</v>
      </c>
      <c r="W50">
        <f t="shared" si="1302"/>
        <v>-0.73401213664844001</v>
      </c>
      <c r="X50" t="e">
        <f t="shared" si="1303"/>
        <v>#NAME?</v>
      </c>
      <c r="Y50" t="e">
        <f t="shared" si="1304"/>
        <v>#NAME?</v>
      </c>
      <c r="Z50" t="e">
        <f t="shared" si="1292"/>
        <v>#NAME?</v>
      </c>
      <c r="AA50" t="e">
        <f t="shared" si="1305"/>
        <v>#NAME?</v>
      </c>
      <c r="AB50" t="e">
        <f t="shared" si="1306"/>
        <v>#NAME?</v>
      </c>
      <c r="AD50">
        <f t="shared" si="1310"/>
        <v>47</v>
      </c>
      <c r="AE50">
        <f t="shared" si="1307"/>
        <v>10.4282428223982</v>
      </c>
    </row>
    <row r="51">
      <c r="A51">
        <f t="shared" si="1308"/>
        <v>48</v>
      </c>
      <c r="B51">
        <v>9.6942306857497602</v>
      </c>
      <c r="D51">
        <f t="shared" si="1309"/>
        <v>48</v>
      </c>
      <c r="E51">
        <f t="shared" si="1300"/>
        <v>0.47480606662703895</v>
      </c>
      <c r="F51" t="e">
        <f t="shared" si="1311"/>
        <v>#NAME?</v>
      </c>
      <c r="V51">
        <f t="shared" si="1301"/>
        <v>48</v>
      </c>
      <c r="W51">
        <f t="shared" si="1302"/>
        <v>0.47480606662703895</v>
      </c>
      <c r="X51" t="e">
        <f t="shared" si="1303"/>
        <v>#NAME?</v>
      </c>
      <c r="Y51" t="e">
        <f t="shared" si="1304"/>
        <v>#NAME?</v>
      </c>
      <c r="Z51" t="e">
        <f t="shared" si="1292"/>
        <v>#NAME?</v>
      </c>
      <c r="AA51" t="e">
        <f t="shared" si="1305"/>
        <v>#NAME?</v>
      </c>
      <c r="AB51" t="e">
        <f t="shared" si="1306"/>
        <v>#NAME?</v>
      </c>
      <c r="AD51">
        <f t="shared" si="1310"/>
        <v>48</v>
      </c>
      <c r="AE51">
        <f t="shared" si="1307"/>
        <v>9.6942306857497602</v>
      </c>
    </row>
    <row r="52">
      <c r="A52">
        <f t="shared" si="1308"/>
        <v>49</v>
      </c>
      <c r="B52">
        <v>10.169036752376758</v>
      </c>
      <c r="D52">
        <f t="shared" si="1309"/>
        <v>49</v>
      </c>
      <c r="E52">
        <f t="shared" si="1300"/>
        <v>0.31761896021320102</v>
      </c>
      <c r="F52" t="e">
        <f t="shared" si="1311"/>
        <v>#NAME?</v>
      </c>
      <c r="V52">
        <f t="shared" si="1301"/>
        <v>49</v>
      </c>
      <c r="W52">
        <f t="shared" si="1302"/>
        <v>0.31761896021320102</v>
      </c>
      <c r="X52" t="e">
        <f t="shared" si="1303"/>
        <v>#NAME?</v>
      </c>
      <c r="Y52" t="e">
        <f t="shared" si="1304"/>
        <v>#NAME?</v>
      </c>
      <c r="Z52" t="e">
        <f t="shared" si="1292"/>
        <v>#NAME?</v>
      </c>
      <c r="AA52" t="e">
        <f t="shared" si="1305"/>
        <v>#NAME?</v>
      </c>
      <c r="AB52" t="e">
        <f t="shared" si="1306"/>
        <v>#NAME?</v>
      </c>
      <c r="AD52">
        <f t="shared" si="1310"/>
        <v>49</v>
      </c>
      <c r="AE52">
        <f t="shared" si="1307"/>
        <v>10.169036752376799</v>
      </c>
    </row>
    <row r="53">
      <c r="A53">
        <f t="shared" si="1308"/>
        <v>50</v>
      </c>
      <c r="B53">
        <v>10.486655712590014</v>
      </c>
      <c r="D53">
        <f t="shared" si="1309"/>
        <v>50</v>
      </c>
      <c r="E53">
        <f t="shared" si="1300"/>
        <v>0.16949392746279901</v>
      </c>
      <c r="F53" t="e">
        <f t="shared" si="1311"/>
        <v>#NAME?</v>
      </c>
      <c r="V53">
        <f t="shared" si="1301"/>
        <v>50</v>
      </c>
      <c r="W53">
        <f t="shared" si="1302"/>
        <v>0.16949392746279901</v>
      </c>
      <c r="X53" t="e">
        <f t="shared" si="1303"/>
        <v>#NAME?</v>
      </c>
      <c r="Y53" t="e">
        <f t="shared" si="1304"/>
        <v>#NAME?</v>
      </c>
      <c r="Z53" t="e">
        <f t="shared" si="1292"/>
        <v>#NAME?</v>
      </c>
      <c r="AA53" t="e">
        <f t="shared" si="1305"/>
        <v>#NAME?</v>
      </c>
      <c r="AB53" t="e">
        <f t="shared" si="1306"/>
        <v>#NAME?</v>
      </c>
      <c r="AD53">
        <f t="shared" si="1310"/>
        <v>50</v>
      </c>
      <c r="AE53">
        <f t="shared" si="1307"/>
        <v>10.48665571259</v>
      </c>
    </row>
    <row r="54">
      <c r="A54">
        <f t="shared" si="1308"/>
        <v>51</v>
      </c>
      <c r="B54">
        <v>10.656149640052815</v>
      </c>
      <c r="D54">
        <f t="shared" si="1309"/>
        <v>51</v>
      </c>
      <c r="E54">
        <f t="shared" si="1300"/>
        <v>-0.52683207343679905</v>
      </c>
      <c r="F54" t="e">
        <f t="shared" si="1311"/>
        <v>#NAME?</v>
      </c>
      <c r="V54">
        <f t="shared" si="1301"/>
        <v>51</v>
      </c>
      <c r="W54">
        <f t="shared" si="1302"/>
        <v>-0.52683207343679905</v>
      </c>
      <c r="X54" t="e">
        <f t="shared" si="1303"/>
        <v>#NAME?</v>
      </c>
      <c r="Y54" t="e">
        <f t="shared" si="1304"/>
        <v>#NAME?</v>
      </c>
      <c r="Z54" t="e">
        <f t="shared" si="1292"/>
        <v>#NAME?</v>
      </c>
      <c r="AA54" t="e">
        <f t="shared" si="1305"/>
        <v>#NAME?</v>
      </c>
      <c r="AB54" t="e">
        <f t="shared" si="1306"/>
        <v>#NAME?</v>
      </c>
      <c r="AD54">
        <f t="shared" si="1310"/>
        <v>51</v>
      </c>
      <c r="AE54">
        <f t="shared" si="1307"/>
        <v>10.656149640052799</v>
      </c>
    </row>
    <row r="55">
      <c r="A55">
        <f t="shared" si="1308"/>
        <v>52</v>
      </c>
      <c r="B55">
        <v>10.129317566616013</v>
      </c>
      <c r="D55">
        <f t="shared" si="1309"/>
        <v>52</v>
      </c>
      <c r="E55">
        <f t="shared" si="1300"/>
        <v>-1.1630118141977901</v>
      </c>
      <c r="F55" t="e">
        <f t="shared" si="1311"/>
        <v>#NAME?</v>
      </c>
      <c r="V55">
        <f t="shared" si="1301"/>
        <v>52</v>
      </c>
      <c r="W55">
        <f t="shared" si="1302"/>
        <v>-1.1630118141977901</v>
      </c>
      <c r="X55" t="e">
        <f t="shared" si="1303"/>
        <v>#NAME?</v>
      </c>
      <c r="Y55" t="e">
        <f t="shared" si="1304"/>
        <v>#NAME?</v>
      </c>
      <c r="Z55" t="e">
        <f t="shared" si="1292"/>
        <v>#NAME?</v>
      </c>
      <c r="AA55" t="e">
        <f t="shared" si="1305"/>
        <v>#NAME?</v>
      </c>
      <c r="AB55" t="e">
        <f t="shared" si="1306"/>
        <v>#NAME?</v>
      </c>
      <c r="AD55">
        <f t="shared" si="1310"/>
        <v>52</v>
      </c>
      <c r="AE55">
        <f t="shared" si="1307"/>
        <v>10.129317566616001</v>
      </c>
    </row>
    <row r="56">
      <c r="A56">
        <f t="shared" si="1308"/>
        <v>53</v>
      </c>
      <c r="B56">
        <v>8.9663057524182062</v>
      </c>
      <c r="D56">
        <f t="shared" si="1309"/>
        <v>53</v>
      </c>
      <c r="E56">
        <f t="shared" si="1300"/>
        <v>-0.85955431342572886</v>
      </c>
      <c r="F56" t="e">
        <f t="shared" si="1311"/>
        <v>#NAME?</v>
      </c>
      <c r="V56">
        <f t="shared" si="1301"/>
        <v>53</v>
      </c>
      <c r="W56">
        <f t="shared" si="1302"/>
        <v>-0.85955431342572886</v>
      </c>
      <c r="X56" t="e">
        <f t="shared" si="1303"/>
        <v>#NAME?</v>
      </c>
      <c r="Y56" t="e">
        <f t="shared" si="1304"/>
        <v>#NAME?</v>
      </c>
      <c r="Z56" t="e">
        <f t="shared" si="1292"/>
        <v>#NAME?</v>
      </c>
      <c r="AA56" t="e">
        <f t="shared" si="1305"/>
        <v>#NAME?</v>
      </c>
      <c r="AB56" t="e">
        <f t="shared" si="1306"/>
        <v>#NAME?</v>
      </c>
      <c r="AD56">
        <f t="shared" si="1310"/>
        <v>53</v>
      </c>
      <c r="AE56">
        <f t="shared" si="1307"/>
        <v>8.9663057524182097</v>
      </c>
    </row>
    <row r="57">
      <c r="A57">
        <f t="shared" si="1308"/>
        <v>54</v>
      </c>
      <c r="B57">
        <v>8.1067514389924806</v>
      </c>
      <c r="D57">
        <f t="shared" si="1309"/>
        <v>54</v>
      </c>
      <c r="E57">
        <f t="shared" si="1300"/>
        <v>0.56714731885902003</v>
      </c>
      <c r="F57" t="e">
        <f t="shared" si="1311"/>
        <v>#NAME?</v>
      </c>
      <c r="V57">
        <f t="shared" si="1301"/>
        <v>54</v>
      </c>
      <c r="W57">
        <f t="shared" si="1302"/>
        <v>0.56714731885902003</v>
      </c>
      <c r="X57" t="e">
        <f t="shared" si="1303"/>
        <v>#NAME?</v>
      </c>
      <c r="Y57" t="e">
        <f t="shared" si="1304"/>
        <v>#NAME?</v>
      </c>
      <c r="Z57" t="e">
        <f t="shared" si="1292"/>
        <v>#NAME?</v>
      </c>
      <c r="AA57" t="e">
        <f t="shared" si="1305"/>
        <v>#NAME?</v>
      </c>
      <c r="AB57" t="e">
        <f t="shared" si="1306"/>
        <v>#NAME?</v>
      </c>
      <c r="AD57">
        <f t="shared" si="1310"/>
        <v>54</v>
      </c>
      <c r="AE57">
        <f t="shared" si="1307"/>
        <v>8.1067514389924806</v>
      </c>
    </row>
    <row r="58">
      <c r="A58">
        <f t="shared" si="1308"/>
        <v>55</v>
      </c>
      <c r="B58">
        <v>8.6738987578515001</v>
      </c>
      <c r="D58">
        <f t="shared" si="1309"/>
        <v>55</v>
      </c>
      <c r="E58">
        <f t="shared" si="1300"/>
        <v>6.5963365907769994e-02</v>
      </c>
      <c r="F58" t="e">
        <f t="shared" si="1311"/>
        <v>#NAME?</v>
      </c>
      <c r="V58">
        <f t="shared" si="1301"/>
        <v>55</v>
      </c>
      <c r="W58">
        <f t="shared" si="1302"/>
        <v>6.5963365907769994e-02</v>
      </c>
      <c r="X58" t="e">
        <f t="shared" si="1303"/>
        <v>#NAME?</v>
      </c>
      <c r="Y58" t="e">
        <f t="shared" si="1304"/>
        <v>#NAME?</v>
      </c>
      <c r="Z58" t="e">
        <f t="shared" si="1292"/>
        <v>#NAME?</v>
      </c>
      <c r="AA58" t="e">
        <f t="shared" si="1305"/>
        <v>#NAME?</v>
      </c>
      <c r="AB58" t="e">
        <f t="shared" si="1306"/>
        <v>#NAME?</v>
      </c>
      <c r="AD58">
        <f t="shared" si="1310"/>
        <v>55</v>
      </c>
      <c r="AE58">
        <f t="shared" si="1307"/>
        <v>8.6738987578515001</v>
      </c>
    </row>
    <row r="59">
      <c r="A59">
        <f t="shared" si="1308"/>
        <v>56</v>
      </c>
      <c r="B59">
        <v>8.7398621237592646</v>
      </c>
      <c r="D59">
        <f t="shared" si="1309"/>
        <v>56</v>
      </c>
      <c r="E59">
        <f t="shared" si="1300"/>
        <v>2.4113973768790001e-02</v>
      </c>
      <c r="F59" t="e">
        <f t="shared" si="1311"/>
        <v>#NAME?</v>
      </c>
      <c r="V59">
        <f t="shared" si="1301"/>
        <v>56</v>
      </c>
      <c r="W59">
        <f t="shared" si="1302"/>
        <v>2.4113973768790001e-02</v>
      </c>
      <c r="X59" t="e">
        <f t="shared" si="1303"/>
        <v>#NAME?</v>
      </c>
      <c r="Y59" t="e">
        <f t="shared" si="1304"/>
        <v>#NAME?</v>
      </c>
      <c r="Z59" t="e">
        <f t="shared" si="1292"/>
        <v>#NAME?</v>
      </c>
      <c r="AA59" t="e">
        <f t="shared" si="1305"/>
        <v>#NAME?</v>
      </c>
      <c r="AB59" t="e">
        <f t="shared" si="1306"/>
        <v>#NAME?</v>
      </c>
      <c r="AD59">
        <f t="shared" si="1310"/>
        <v>56</v>
      </c>
      <c r="AE59">
        <f t="shared" si="1307"/>
        <v>8.73986212375927</v>
      </c>
    </row>
    <row r="60">
      <c r="A60">
        <f t="shared" si="1308"/>
        <v>57</v>
      </c>
      <c r="B60">
        <v>8.7639760975280581</v>
      </c>
      <c r="D60">
        <f t="shared" si="1309"/>
        <v>57</v>
      </c>
      <c r="E60">
        <f t="shared" si="1300"/>
        <v>1.84365617272284</v>
      </c>
      <c r="F60" t="e">
        <f t="shared" si="1311"/>
        <v>#NAME?</v>
      </c>
      <c r="V60">
        <f t="shared" si="1301"/>
        <v>57</v>
      </c>
      <c r="W60">
        <f t="shared" si="1302"/>
        <v>1.84365617272284</v>
      </c>
      <c r="X60" t="e">
        <f t="shared" si="1303"/>
        <v>#NAME?</v>
      </c>
      <c r="Y60" t="e">
        <f t="shared" si="1304"/>
        <v>#NAME?</v>
      </c>
      <c r="Z60" t="e">
        <f t="shared" si="1292"/>
        <v>#NAME?</v>
      </c>
      <c r="AA60" t="e">
        <f t="shared" si="1305"/>
        <v>#NAME?</v>
      </c>
      <c r="AB60" t="e">
        <f t="shared" si="1306"/>
        <v>#NAME?</v>
      </c>
      <c r="AD60">
        <f t="shared" si="1310"/>
        <v>57</v>
      </c>
      <c r="AE60">
        <f t="shared" si="1307"/>
        <v>8.7639760975280598</v>
      </c>
    </row>
    <row r="61">
      <c r="A61">
        <f t="shared" si="1308"/>
        <v>58</v>
      </c>
      <c r="B61">
        <v>10.607632270250908</v>
      </c>
      <c r="D61">
        <f t="shared" si="1309"/>
        <v>58</v>
      </c>
      <c r="E61">
        <f t="shared" si="1300"/>
        <v>-1.76134790413911</v>
      </c>
      <c r="F61" t="e">
        <f t="shared" si="1311"/>
        <v>#NAME?</v>
      </c>
      <c r="V61">
        <f t="shared" si="1301"/>
        <v>58</v>
      </c>
      <c r="W61">
        <f t="shared" si="1302"/>
        <v>-1.76134790413911</v>
      </c>
      <c r="X61" t="e">
        <f t="shared" si="1303"/>
        <v>#NAME?</v>
      </c>
      <c r="Y61" t="e">
        <f t="shared" si="1304"/>
        <v>#NAME?</v>
      </c>
      <c r="Z61" t="e">
        <f t="shared" si="1292"/>
        <v>#NAME?</v>
      </c>
      <c r="AA61" t="e">
        <f t="shared" si="1305"/>
        <v>#NAME?</v>
      </c>
      <c r="AB61" t="e">
        <f t="shared" si="1306"/>
        <v>#NAME?</v>
      </c>
      <c r="AD61">
        <f t="shared" si="1310"/>
        <v>58</v>
      </c>
      <c r="AE61">
        <f t="shared" si="1307"/>
        <v>10.6076322702509</v>
      </c>
    </row>
    <row r="62">
      <c r="A62">
        <f t="shared" si="1308"/>
        <v>59</v>
      </c>
      <c r="B62">
        <v>8.8462843661117905</v>
      </c>
      <c r="D62">
        <f t="shared" si="1309"/>
        <v>59</v>
      </c>
      <c r="E62">
        <f t="shared" si="1300"/>
        <v>-0.648853894032971</v>
      </c>
      <c r="F62" t="e">
        <f t="shared" si="1311"/>
        <v>#NAME?</v>
      </c>
      <c r="V62">
        <f t="shared" si="1301"/>
        <v>59</v>
      </c>
      <c r="W62">
        <f t="shared" si="1302"/>
        <v>-0.648853894032971</v>
      </c>
      <c r="X62" t="e">
        <f t="shared" si="1303"/>
        <v>#NAME?</v>
      </c>
      <c r="Y62" t="e">
        <f t="shared" si="1304"/>
        <v>#NAME?</v>
      </c>
      <c r="Z62" t="e">
        <f t="shared" si="1292"/>
        <v>#NAME?</v>
      </c>
      <c r="AA62" t="e">
        <f t="shared" si="1305"/>
        <v>#NAME?</v>
      </c>
      <c r="AB62" t="e">
        <f t="shared" si="1306"/>
        <v>#NAME?</v>
      </c>
      <c r="AD62">
        <f t="shared" si="1310"/>
        <v>59</v>
      </c>
      <c r="AE62">
        <f t="shared" si="1307"/>
        <v>8.8462843661117905</v>
      </c>
    </row>
    <row r="63">
      <c r="A63">
        <f t="shared" si="1308"/>
        <v>60</v>
      </c>
      <c r="B63">
        <v>8.197430472078814</v>
      </c>
      <c r="D63">
        <f t="shared" si="1309"/>
        <v>60</v>
      </c>
      <c r="E63">
        <f t="shared" si="1300"/>
        <v>1.5030373387145799</v>
      </c>
      <c r="F63" t="e">
        <f t="shared" si="1311"/>
        <v>#NAME?</v>
      </c>
      <c r="V63">
        <f t="shared" si="1301"/>
        <v>60</v>
      </c>
      <c r="W63">
        <f t="shared" si="1302"/>
        <v>1.5030373387145799</v>
      </c>
      <c r="X63" t="e">
        <f t="shared" si="1303"/>
        <v>#NAME?</v>
      </c>
      <c r="Y63" t="e">
        <f t="shared" si="1304"/>
        <v>#NAME?</v>
      </c>
      <c r="Z63" t="e">
        <f t="shared" si="1292"/>
        <v>#NAME?</v>
      </c>
      <c r="AA63" t="e">
        <f t="shared" si="1305"/>
        <v>#NAME?</v>
      </c>
      <c r="AB63" t="e">
        <f t="shared" si="1306"/>
        <v>#NAME?</v>
      </c>
      <c r="AD63">
        <f t="shared" si="1310"/>
        <v>60</v>
      </c>
      <c r="AE63">
        <f t="shared" si="1307"/>
        <v>8.1974304720788194</v>
      </c>
    </row>
    <row r="64">
      <c r="A64">
        <f t="shared" si="1308"/>
        <v>61</v>
      </c>
      <c r="B64">
        <v>9.7004678107933984</v>
      </c>
      <c r="D64">
        <f t="shared" si="1309"/>
        <v>61</v>
      </c>
      <c r="E64">
        <f t="shared" si="1300"/>
        <v>-0.20165934776715999</v>
      </c>
      <c r="F64" t="e">
        <f t="shared" si="1311"/>
        <v>#NAME?</v>
      </c>
      <c r="V64">
        <f t="shared" si="1301"/>
        <v>61</v>
      </c>
      <c r="W64">
        <f t="shared" si="1302"/>
        <v>-0.20165934776715999</v>
      </c>
      <c r="X64" t="e">
        <f t="shared" si="1303"/>
        <v>#NAME?</v>
      </c>
      <c r="Y64" t="e">
        <f t="shared" si="1304"/>
        <v>#NAME?</v>
      </c>
      <c r="Z64" t="e">
        <f t="shared" si="1292"/>
        <v>#NAME?</v>
      </c>
      <c r="AA64" t="e">
        <f t="shared" si="1305"/>
        <v>#NAME?</v>
      </c>
      <c r="AB64" t="e">
        <f t="shared" si="1306"/>
        <v>#NAME?</v>
      </c>
      <c r="AD64">
        <f t="shared" si="1310"/>
        <v>61</v>
      </c>
      <c r="AE64">
        <f t="shared" si="1307"/>
        <v>9.7004678107934001</v>
      </c>
    </row>
    <row r="65">
      <c r="A65">
        <f t="shared" si="1308"/>
        <v>62</v>
      </c>
      <c r="B65">
        <v>9.4988084630262417</v>
      </c>
      <c r="D65">
        <f t="shared" si="1309"/>
        <v>62</v>
      </c>
      <c r="E65">
        <f t="shared" si="1300"/>
        <v>0.20157731591235101</v>
      </c>
      <c r="F65" t="e">
        <f t="shared" si="1311"/>
        <v>#NAME?</v>
      </c>
      <c r="V65">
        <f t="shared" si="1301"/>
        <v>62</v>
      </c>
      <c r="W65">
        <f t="shared" si="1302"/>
        <v>0.20157731591235101</v>
      </c>
      <c r="X65" t="e">
        <f t="shared" si="1303"/>
        <v>#NAME?</v>
      </c>
      <c r="Y65" t="e">
        <f t="shared" si="1304"/>
        <v>#NAME?</v>
      </c>
      <c r="Z65" t="e">
        <f t="shared" si="1292"/>
        <v>#NAME?</v>
      </c>
      <c r="AA65" t="e">
        <f t="shared" si="1305"/>
        <v>#NAME?</v>
      </c>
      <c r="AB65" t="e">
        <f t="shared" si="1306"/>
        <v>#NAME?</v>
      </c>
      <c r="AD65">
        <f t="shared" si="1310"/>
        <v>62</v>
      </c>
      <c r="AE65">
        <f t="shared" si="1307"/>
        <v>9.4988084630262399</v>
      </c>
    </row>
    <row r="66">
      <c r="A66">
        <f t="shared" si="1308"/>
        <v>63</v>
      </c>
      <c r="B66">
        <v>9.7003857789385926</v>
      </c>
      <c r="D66">
        <f t="shared" si="1309"/>
        <v>63</v>
      </c>
      <c r="E66">
        <f t="shared" si="1300"/>
        <v>0.11924221499984</v>
      </c>
      <c r="F66" t="e">
        <f t="shared" si="1311"/>
        <v>#NAME?</v>
      </c>
      <c r="V66">
        <f t="shared" si="1301"/>
        <v>63</v>
      </c>
      <c r="W66">
        <f t="shared" si="1302"/>
        <v>0.11924221499984</v>
      </c>
      <c r="X66" t="e">
        <f t="shared" si="1303"/>
        <v>#NAME?</v>
      </c>
      <c r="Y66" t="e">
        <f t="shared" si="1304"/>
        <v>#NAME?</v>
      </c>
      <c r="Z66" t="e">
        <f t="shared" si="1292"/>
        <v>#NAME?</v>
      </c>
      <c r="AA66" t="e">
        <f t="shared" si="1305"/>
        <v>#NAME?</v>
      </c>
      <c r="AB66" t="e">
        <f t="shared" si="1306"/>
        <v>#NAME?</v>
      </c>
      <c r="AD66">
        <f t="shared" si="1310"/>
        <v>63</v>
      </c>
      <c r="AE66">
        <f t="shared" si="1307"/>
        <v>9.7003857789385908</v>
      </c>
    </row>
    <row r="67">
      <c r="A67">
        <f t="shared" si="1308"/>
        <v>64</v>
      </c>
      <c r="B67">
        <v>9.8196279939384326</v>
      </c>
      <c r="D67">
        <f t="shared" si="1309"/>
        <v>64</v>
      </c>
      <c r="E67">
        <f t="shared" si="1300"/>
        <v>2.5374175912962702</v>
      </c>
      <c r="F67" t="e">
        <f t="shared" si="1311"/>
        <v>#NAME?</v>
      </c>
      <c r="V67">
        <f t="shared" si="1301"/>
        <v>64</v>
      </c>
      <c r="W67">
        <f t="shared" si="1302"/>
        <v>2.5374175912962702</v>
      </c>
      <c r="X67" t="e">
        <f t="shared" si="1303"/>
        <v>#NAME?</v>
      </c>
      <c r="Y67" t="e">
        <f t="shared" si="1304"/>
        <v>#NAME?</v>
      </c>
      <c r="Z67" t="e">
        <f t="shared" si="1292"/>
        <v>#NAME?</v>
      </c>
      <c r="AA67" t="e">
        <f t="shared" si="1305"/>
        <v>#NAME?</v>
      </c>
      <c r="AB67" t="e">
        <f t="shared" si="1306"/>
        <v>#NAME?</v>
      </c>
      <c r="AD67">
        <f t="shared" si="1310"/>
        <v>64</v>
      </c>
      <c r="AE67">
        <f t="shared" si="1307"/>
        <v>9.8196279939384308</v>
      </c>
    </row>
    <row r="68">
      <c r="A68">
        <f t="shared" si="1308"/>
        <v>65</v>
      </c>
      <c r="B68">
        <v>12.357045585234705</v>
      </c>
      <c r="D68">
        <f t="shared" si="1309"/>
        <v>65</v>
      </c>
      <c r="E68">
        <f t="shared" si="1300"/>
        <v>-1.4334411711337001</v>
      </c>
      <c r="F68" t="e">
        <f t="shared" si="1311"/>
        <v>#NAME?</v>
      </c>
      <c r="V68">
        <f t="shared" si="1301"/>
        <v>65</v>
      </c>
      <c r="W68">
        <f t="shared" si="1302"/>
        <v>-1.4334411711337001</v>
      </c>
      <c r="X68" t="e">
        <f t="shared" si="1303"/>
        <v>#NAME?</v>
      </c>
      <c r="Y68" t="e">
        <f t="shared" si="1304"/>
        <v>#NAME?</v>
      </c>
      <c r="Z68" t="e">
        <f t="shared" ref="Z68:Z107" si="1313">J$15</f>
        <v>#NAME?</v>
      </c>
      <c r="AA68" t="e">
        <f t="shared" si="1305"/>
        <v>#NAME?</v>
      </c>
      <c r="AB68" t="e">
        <f t="shared" si="1306"/>
        <v>#NAME?</v>
      </c>
      <c r="AD68">
        <f t="shared" si="1310"/>
        <v>65</v>
      </c>
      <c r="AE68">
        <f t="shared" si="1307"/>
        <v>12.357045585234699</v>
      </c>
    </row>
    <row r="69">
      <c r="A69">
        <f t="shared" si="1308"/>
        <v>66</v>
      </c>
      <c r="B69">
        <v>10.923604414101041</v>
      </c>
      <c r="D69">
        <f t="shared" si="1309"/>
        <v>66</v>
      </c>
      <c r="E69">
        <f t="shared" si="1300"/>
        <v>-1.22283856749442</v>
      </c>
      <c r="F69" t="e">
        <f t="shared" si="1311"/>
        <v>#NAME?</v>
      </c>
      <c r="V69">
        <f t="shared" si="1301"/>
        <v>66</v>
      </c>
      <c r="W69">
        <f t="shared" si="1302"/>
        <v>-1.22283856749442</v>
      </c>
      <c r="X69" t="e">
        <f t="shared" si="1303"/>
        <v>#NAME?</v>
      </c>
      <c r="Y69" t="e">
        <f t="shared" si="1304"/>
        <v>#NAME?</v>
      </c>
      <c r="Z69" t="e">
        <f t="shared" si="1313"/>
        <v>#NAME?</v>
      </c>
      <c r="AA69" t="e">
        <f t="shared" si="1305"/>
        <v>#NAME?</v>
      </c>
      <c r="AB69" t="e">
        <f t="shared" si="1306"/>
        <v>#NAME?</v>
      </c>
      <c r="AD69">
        <f t="shared" si="1310"/>
        <v>66</v>
      </c>
      <c r="AE69">
        <f t="shared" si="1307"/>
        <v>10.923604414101</v>
      </c>
    </row>
    <row r="70">
      <c r="A70">
        <f t="shared" si="1308"/>
        <v>67</v>
      </c>
      <c r="B70">
        <v>9.7007658466065791</v>
      </c>
      <c r="D70">
        <f t="shared" si="1309"/>
        <v>67</v>
      </c>
      <c r="E70">
        <f t="shared" si="1300"/>
        <v>0.57339521810752103</v>
      </c>
      <c r="F70" t="e">
        <f t="shared" si="1311"/>
        <v>#NAME?</v>
      </c>
      <c r="V70">
        <f t="shared" si="1301"/>
        <v>67</v>
      </c>
      <c r="W70">
        <f t="shared" si="1302"/>
        <v>0.57339521810752103</v>
      </c>
      <c r="X70" t="e">
        <f t="shared" si="1303"/>
        <v>#NAME?</v>
      </c>
      <c r="Y70" t="e">
        <f t="shared" si="1304"/>
        <v>#NAME?</v>
      </c>
      <c r="Z70" t="e">
        <f t="shared" si="1313"/>
        <v>#NAME?</v>
      </c>
      <c r="AA70" t="e">
        <f t="shared" si="1305"/>
        <v>#NAME?</v>
      </c>
      <c r="AB70" t="e">
        <f t="shared" si="1306"/>
        <v>#NAME?</v>
      </c>
      <c r="AD70">
        <f t="shared" si="1310"/>
        <v>67</v>
      </c>
      <c r="AE70">
        <f t="shared" si="1307"/>
        <v>9.7007658466065791</v>
      </c>
    </row>
    <row r="71">
      <c r="A71">
        <f t="shared" si="1308"/>
        <v>68</v>
      </c>
      <c r="B71">
        <v>10.274161064714082</v>
      </c>
      <c r="D71">
        <f t="shared" si="1309"/>
        <v>68</v>
      </c>
      <c r="E71">
        <f t="shared" si="1300"/>
        <v>-0.5180801911581</v>
      </c>
      <c r="F71" t="e">
        <f t="shared" si="1311"/>
        <v>#NAME?</v>
      </c>
      <c r="V71">
        <f t="shared" si="1301"/>
        <v>68</v>
      </c>
      <c r="W71">
        <f t="shared" si="1302"/>
        <v>-0.5180801911581</v>
      </c>
      <c r="X71" t="e">
        <f t="shared" si="1303"/>
        <v>#NAME?</v>
      </c>
      <c r="Y71" t="e">
        <f t="shared" si="1304"/>
        <v>#NAME?</v>
      </c>
      <c r="Z71" t="e">
        <f t="shared" si="1313"/>
        <v>#NAME?</v>
      </c>
      <c r="AA71" t="e">
        <f t="shared" si="1305"/>
        <v>#NAME?</v>
      </c>
      <c r="AB71" t="e">
        <f t="shared" si="1306"/>
        <v>#NAME?</v>
      </c>
      <c r="AD71">
        <f t="shared" si="1310"/>
        <v>68</v>
      </c>
      <c r="AE71">
        <f t="shared" si="1307"/>
        <v>10.2741610647141</v>
      </c>
    </row>
    <row r="72">
      <c r="A72">
        <f t="shared" si="1308"/>
        <v>69</v>
      </c>
      <c r="B72">
        <v>9.7560808735559998</v>
      </c>
      <c r="D72">
        <f t="shared" si="1309"/>
        <v>69</v>
      </c>
      <c r="E72">
        <f t="shared" si="1300"/>
        <v>-0.46834903150441998</v>
      </c>
      <c r="F72" t="e">
        <f t="shared" si="1311"/>
        <v>#NAME?</v>
      </c>
      <c r="V72">
        <f t="shared" si="1301"/>
        <v>69</v>
      </c>
      <c r="W72">
        <f t="shared" si="1302"/>
        <v>-0.46834903150441998</v>
      </c>
      <c r="X72" t="e">
        <f t="shared" si="1303"/>
        <v>#NAME?</v>
      </c>
      <c r="Y72" t="e">
        <f t="shared" si="1304"/>
        <v>#NAME?</v>
      </c>
      <c r="Z72" t="e">
        <f t="shared" si="1313"/>
        <v>#NAME?</v>
      </c>
      <c r="AA72" t="e">
        <f t="shared" si="1305"/>
        <v>#NAME?</v>
      </c>
      <c r="AB72" t="e">
        <f t="shared" si="1306"/>
        <v>#NAME?</v>
      </c>
      <c r="AD72">
        <f t="shared" si="1310"/>
        <v>69</v>
      </c>
      <c r="AE72">
        <f t="shared" si="1307"/>
        <v>9.7560808735559998</v>
      </c>
    </row>
    <row r="73">
      <c r="A73">
        <f t="shared" si="1308"/>
        <v>70</v>
      </c>
      <c r="B73">
        <v>9.2877318420515778</v>
      </c>
      <c r="D73">
        <f t="shared" si="1309"/>
        <v>70</v>
      </c>
      <c r="E73">
        <f t="shared" si="1300"/>
        <v>-0.49292414514580002</v>
      </c>
      <c r="F73" t="e">
        <f t="shared" si="1311"/>
        <v>#NAME?</v>
      </c>
      <c r="V73">
        <f t="shared" si="1301"/>
        <v>70</v>
      </c>
      <c r="W73">
        <f t="shared" si="1302"/>
        <v>-0.49292414514580002</v>
      </c>
      <c r="X73" t="e">
        <f t="shared" si="1303"/>
        <v>#NAME?</v>
      </c>
      <c r="Y73" t="e">
        <f t="shared" si="1304"/>
        <v>#NAME?</v>
      </c>
      <c r="Z73" t="e">
        <f t="shared" si="1313"/>
        <v>#NAME?</v>
      </c>
      <c r="AA73" t="e">
        <f t="shared" si="1305"/>
        <v>#NAME?</v>
      </c>
      <c r="AB73" t="e">
        <f t="shared" si="1306"/>
        <v>#NAME?</v>
      </c>
      <c r="AD73">
        <f t="shared" si="1310"/>
        <v>70</v>
      </c>
      <c r="AE73">
        <f t="shared" si="1307"/>
        <v>9.2877318420515795</v>
      </c>
    </row>
    <row r="74">
      <c r="A74">
        <f t="shared" si="1308"/>
        <v>71</v>
      </c>
      <c r="B74">
        <v>8.7948076969057745</v>
      </c>
      <c r="D74">
        <f t="shared" si="1309"/>
        <v>71</v>
      </c>
      <c r="E74">
        <f t="shared" ref="E74:E98" si="1314">B75-B74</f>
        <v>1.1573582483518701</v>
      </c>
      <c r="F74" t="e">
        <f t="shared" si="1311"/>
        <v>#NAME?</v>
      </c>
      <c r="V74">
        <f t="shared" ref="V74:V99" si="1315">D74</f>
        <v>71</v>
      </c>
      <c r="W74">
        <f t="shared" ref="W74:W99" si="1316">E74</f>
        <v>1.1573582483518701</v>
      </c>
      <c r="X74" t="e">
        <f t="shared" ref="X74:X99" si="1317">F74</f>
        <v>#NAME?</v>
      </c>
      <c r="Y74" t="e">
        <f t="shared" ref="Y74:Y99" si="1318">W74-X74</f>
        <v>#NAME?</v>
      </c>
      <c r="Z74" t="e">
        <f t="shared" si="1313"/>
        <v>#NAME?</v>
      </c>
      <c r="AA74" t="e">
        <f t="shared" ref="AA74:AA99" si="1319">Y74-NORMSINV(1-Z$2/2)*Z74</f>
        <v>#NAME?</v>
      </c>
      <c r="AB74" t="e">
        <f t="shared" ref="AB74:AB99" si="1320">Y74+NORMSINV(1-Z$2/2)*Z74</f>
        <v>#NAME?</v>
      </c>
      <c r="AD74">
        <f t="shared" si="1310"/>
        <v>71</v>
      </c>
      <c r="AE74">
        <f t="shared" ref="AE74:AE99" si="1321">B74</f>
        <v>8.7948076969057798</v>
      </c>
    </row>
    <row r="75">
      <c r="A75">
        <f t="shared" ref="A75:A100" si="1322">A74+1</f>
        <v>72</v>
      </c>
      <c r="B75">
        <v>9.9521659452576507</v>
      </c>
      <c r="D75">
        <f t="shared" ref="D75:D100" si="1323">D74+1</f>
        <v>72</v>
      </c>
      <c r="E75">
        <f t="shared" si="1314"/>
        <v>-0.80564815197410089</v>
      </c>
      <c r="F75" t="e">
        <f t="shared" si="1311"/>
        <v>#NAME?</v>
      </c>
      <c r="V75">
        <f t="shared" si="1315"/>
        <v>72</v>
      </c>
      <c r="W75">
        <f t="shared" si="1316"/>
        <v>-0.80564815197410089</v>
      </c>
      <c r="X75" t="e">
        <f t="shared" si="1317"/>
        <v>#NAME?</v>
      </c>
      <c r="Y75" t="e">
        <f t="shared" si="1318"/>
        <v>#NAME?</v>
      </c>
      <c r="Z75" t="e">
        <f t="shared" si="1313"/>
        <v>#NAME?</v>
      </c>
      <c r="AA75" t="e">
        <f t="shared" si="1319"/>
        <v>#NAME?</v>
      </c>
      <c r="AB75" t="e">
        <f t="shared" si="1320"/>
        <v>#NAME?</v>
      </c>
      <c r="AD75">
        <f t="shared" ref="AD75:AD100" si="1324">AD74+1</f>
        <v>72</v>
      </c>
      <c r="AE75">
        <f t="shared" si="1321"/>
        <v>9.9521659452576507</v>
      </c>
    </row>
    <row r="76">
      <c r="A76">
        <f t="shared" si="1322"/>
        <v>73</v>
      </c>
      <c r="B76">
        <v>9.1465177932835449</v>
      </c>
      <c r="D76">
        <f t="shared" si="1323"/>
        <v>73</v>
      </c>
      <c r="E76">
        <f t="shared" si="1314"/>
        <v>-0.73444497047407098</v>
      </c>
      <c r="F76" t="e">
        <f t="shared" ref="F76:F99" si="1325">E76-SUMPRODUCT(E74:E75,I$4:I$5)-SUMPRODUCT(F75,J$5)</f>
        <v>#NAME?</v>
      </c>
      <c r="V76">
        <f t="shared" si="1315"/>
        <v>73</v>
      </c>
      <c r="W76">
        <f t="shared" si="1316"/>
        <v>-0.73444497047407098</v>
      </c>
      <c r="X76" t="e">
        <f t="shared" si="1317"/>
        <v>#NAME?</v>
      </c>
      <c r="Y76" t="e">
        <f t="shared" si="1318"/>
        <v>#NAME?</v>
      </c>
      <c r="Z76" t="e">
        <f t="shared" si="1313"/>
        <v>#NAME?</v>
      </c>
      <c r="AA76" t="e">
        <f t="shared" si="1319"/>
        <v>#NAME?</v>
      </c>
      <c r="AB76" t="e">
        <f t="shared" si="1320"/>
        <v>#NAME?</v>
      </c>
      <c r="AD76">
        <f t="shared" si="1324"/>
        <v>73</v>
      </c>
      <c r="AE76">
        <f t="shared" si="1321"/>
        <v>9.1465177932835502</v>
      </c>
    </row>
    <row r="77">
      <c r="A77">
        <f t="shared" si="1322"/>
        <v>74</v>
      </c>
      <c r="B77">
        <v>8.4120728228094741</v>
      </c>
      <c r="D77">
        <f t="shared" si="1323"/>
        <v>74</v>
      </c>
      <c r="E77">
        <f t="shared" si="1314"/>
        <v>1.31177451781527</v>
      </c>
      <c r="F77" t="e">
        <f t="shared" si="1325"/>
        <v>#NAME?</v>
      </c>
      <c r="V77">
        <f t="shared" si="1315"/>
        <v>74</v>
      </c>
      <c r="W77">
        <f t="shared" si="1316"/>
        <v>1.31177451781527</v>
      </c>
      <c r="X77" t="e">
        <f t="shared" si="1317"/>
        <v>#NAME?</v>
      </c>
      <c r="Y77" t="e">
        <f t="shared" si="1318"/>
        <v>#NAME?</v>
      </c>
      <c r="Z77" t="e">
        <f t="shared" si="1313"/>
        <v>#NAME?</v>
      </c>
      <c r="AA77" t="e">
        <f t="shared" si="1319"/>
        <v>#NAME?</v>
      </c>
      <c r="AB77" t="e">
        <f t="shared" si="1320"/>
        <v>#NAME?</v>
      </c>
      <c r="AD77">
        <f t="shared" si="1324"/>
        <v>74</v>
      </c>
      <c r="AE77">
        <f t="shared" si="1321"/>
        <v>8.4120728228094794</v>
      </c>
    </row>
    <row r="78">
      <c r="A78">
        <f t="shared" si="1322"/>
        <v>75</v>
      </c>
      <c r="B78">
        <v>9.7238473406247508</v>
      </c>
      <c r="D78">
        <f t="shared" si="1323"/>
        <v>75</v>
      </c>
      <c r="E78">
        <f t="shared" si="1314"/>
        <v>-1.27505858726415</v>
      </c>
      <c r="F78" t="e">
        <f t="shared" si="1325"/>
        <v>#NAME?</v>
      </c>
      <c r="V78">
        <f t="shared" si="1315"/>
        <v>75</v>
      </c>
      <c r="W78">
        <f t="shared" si="1316"/>
        <v>-1.27505858726415</v>
      </c>
      <c r="X78" t="e">
        <f t="shared" si="1317"/>
        <v>#NAME?</v>
      </c>
      <c r="Y78" t="e">
        <f t="shared" si="1318"/>
        <v>#NAME?</v>
      </c>
      <c r="Z78" t="e">
        <f t="shared" si="1313"/>
        <v>#NAME?</v>
      </c>
      <c r="AA78" t="e">
        <f t="shared" si="1319"/>
        <v>#NAME?</v>
      </c>
      <c r="AB78" t="e">
        <f t="shared" si="1320"/>
        <v>#NAME?</v>
      </c>
      <c r="AD78">
        <f t="shared" si="1324"/>
        <v>75</v>
      </c>
      <c r="AE78">
        <f t="shared" si="1321"/>
        <v>9.7238473406247508</v>
      </c>
    </row>
    <row r="79">
      <c r="A79">
        <f t="shared" si="1322"/>
        <v>76</v>
      </c>
      <c r="B79">
        <v>8.4487887533605956</v>
      </c>
      <c r="D79">
        <f t="shared" si="1323"/>
        <v>76</v>
      </c>
      <c r="E79">
        <f t="shared" si="1314"/>
        <v>0.860380874625301</v>
      </c>
      <c r="F79" t="e">
        <f t="shared" si="1325"/>
        <v>#NAME?</v>
      </c>
      <c r="V79">
        <f t="shared" si="1315"/>
        <v>76</v>
      </c>
      <c r="W79">
        <f t="shared" si="1316"/>
        <v>0.860380874625301</v>
      </c>
      <c r="X79" t="e">
        <f t="shared" si="1317"/>
        <v>#NAME?</v>
      </c>
      <c r="Y79" t="e">
        <f t="shared" si="1318"/>
        <v>#NAME?</v>
      </c>
      <c r="Z79" t="e">
        <f t="shared" si="1313"/>
        <v>#NAME?</v>
      </c>
      <c r="AA79" t="e">
        <f t="shared" si="1319"/>
        <v>#NAME?</v>
      </c>
      <c r="AB79" t="e">
        <f t="shared" si="1320"/>
        <v>#NAME?</v>
      </c>
      <c r="AD79">
        <f t="shared" si="1324"/>
        <v>76</v>
      </c>
      <c r="AE79">
        <f t="shared" si="1321"/>
        <v>8.4487887533605992</v>
      </c>
    </row>
    <row r="80">
      <c r="A80">
        <f t="shared" si="1322"/>
        <v>77</v>
      </c>
      <c r="B80">
        <v>9.3091696279858969</v>
      </c>
      <c r="D80">
        <f t="shared" si="1323"/>
        <v>77</v>
      </c>
      <c r="E80">
        <f t="shared" si="1314"/>
        <v>0.31992544424647901</v>
      </c>
      <c r="F80" t="e">
        <f t="shared" si="1325"/>
        <v>#NAME?</v>
      </c>
      <c r="V80">
        <f t="shared" si="1315"/>
        <v>77</v>
      </c>
      <c r="W80">
        <f t="shared" si="1316"/>
        <v>0.31992544424647901</v>
      </c>
      <c r="X80" t="e">
        <f t="shared" si="1317"/>
        <v>#NAME?</v>
      </c>
      <c r="Y80" t="e">
        <f t="shared" si="1318"/>
        <v>#NAME?</v>
      </c>
      <c r="Z80" t="e">
        <f t="shared" si="1313"/>
        <v>#NAME?</v>
      </c>
      <c r="AA80" t="e">
        <f t="shared" si="1319"/>
        <v>#NAME?</v>
      </c>
      <c r="AB80" t="e">
        <f t="shared" si="1320"/>
        <v>#NAME?</v>
      </c>
      <c r="AD80">
        <f t="shared" si="1324"/>
        <v>77</v>
      </c>
      <c r="AE80">
        <f t="shared" si="1321"/>
        <v>9.3091696279859004</v>
      </c>
    </row>
    <row r="81">
      <c r="A81">
        <f t="shared" si="1322"/>
        <v>78</v>
      </c>
      <c r="B81">
        <v>9.6290950722323778</v>
      </c>
      <c r="D81">
        <f t="shared" si="1323"/>
        <v>78</v>
      </c>
      <c r="E81">
        <f t="shared" si="1314"/>
        <v>0.86965926988922104</v>
      </c>
      <c r="F81" t="e">
        <f t="shared" si="1325"/>
        <v>#NAME?</v>
      </c>
      <c r="V81">
        <f t="shared" si="1315"/>
        <v>78</v>
      </c>
      <c r="W81">
        <f t="shared" si="1316"/>
        <v>0.86965926988922104</v>
      </c>
      <c r="X81" t="e">
        <f t="shared" si="1317"/>
        <v>#NAME?</v>
      </c>
      <c r="Y81" t="e">
        <f t="shared" si="1318"/>
        <v>#NAME?</v>
      </c>
      <c r="Z81" t="e">
        <f t="shared" si="1313"/>
        <v>#NAME?</v>
      </c>
      <c r="AA81" t="e">
        <f t="shared" si="1319"/>
        <v>#NAME?</v>
      </c>
      <c r="AB81" t="e">
        <f t="shared" si="1320"/>
        <v>#NAME?</v>
      </c>
      <c r="AD81">
        <f t="shared" si="1324"/>
        <v>78</v>
      </c>
      <c r="AE81">
        <f t="shared" si="1321"/>
        <v>9.6290950722323796</v>
      </c>
    </row>
    <row r="82">
      <c r="A82">
        <f t="shared" si="1322"/>
        <v>79</v>
      </c>
      <c r="B82">
        <v>10.498754342121549</v>
      </c>
      <c r="D82">
        <f t="shared" si="1323"/>
        <v>79</v>
      </c>
      <c r="E82">
        <f t="shared" si="1314"/>
        <v>-2.3641983074958399</v>
      </c>
      <c r="F82" t="e">
        <f t="shared" si="1325"/>
        <v>#NAME?</v>
      </c>
      <c r="V82">
        <f t="shared" si="1315"/>
        <v>79</v>
      </c>
      <c r="W82">
        <f t="shared" si="1316"/>
        <v>-2.3641983074958399</v>
      </c>
      <c r="X82" t="e">
        <f t="shared" si="1317"/>
        <v>#NAME?</v>
      </c>
      <c r="Y82" t="e">
        <f t="shared" si="1318"/>
        <v>#NAME?</v>
      </c>
      <c r="Z82" t="e">
        <f t="shared" si="1313"/>
        <v>#NAME?</v>
      </c>
      <c r="AA82" t="e">
        <f t="shared" si="1319"/>
        <v>#NAME?</v>
      </c>
      <c r="AB82" t="e">
        <f t="shared" si="1320"/>
        <v>#NAME?</v>
      </c>
      <c r="AD82">
        <f t="shared" si="1324"/>
        <v>79</v>
      </c>
      <c r="AE82">
        <f t="shared" si="1321"/>
        <v>10.4987543421216</v>
      </c>
    </row>
    <row r="83">
      <c r="A83">
        <f t="shared" si="1322"/>
        <v>80</v>
      </c>
      <c r="B83">
        <v>8.1345560346257617</v>
      </c>
      <c r="D83">
        <f t="shared" si="1323"/>
        <v>80</v>
      </c>
      <c r="E83">
        <f t="shared" si="1314"/>
        <v>1.0206275277374799</v>
      </c>
      <c r="F83" t="e">
        <f t="shared" si="1325"/>
        <v>#NAME?</v>
      </c>
      <c r="V83">
        <f t="shared" si="1315"/>
        <v>80</v>
      </c>
      <c r="W83">
        <f t="shared" si="1316"/>
        <v>1.0206275277374799</v>
      </c>
      <c r="X83" t="e">
        <f t="shared" si="1317"/>
        <v>#NAME?</v>
      </c>
      <c r="Y83" t="e">
        <f t="shared" si="1318"/>
        <v>#NAME?</v>
      </c>
      <c r="Z83" t="e">
        <f t="shared" si="1313"/>
        <v>#NAME?</v>
      </c>
      <c r="AA83" t="e">
        <f t="shared" si="1319"/>
        <v>#NAME?</v>
      </c>
      <c r="AB83" t="e">
        <f t="shared" si="1320"/>
        <v>#NAME?</v>
      </c>
      <c r="AD83">
        <f t="shared" si="1324"/>
        <v>80</v>
      </c>
      <c r="AE83">
        <f t="shared" si="1321"/>
        <v>8.1345560346257599</v>
      </c>
    </row>
    <row r="84">
      <c r="A84">
        <f t="shared" si="1322"/>
        <v>81</v>
      </c>
      <c r="B84">
        <v>9.155183562363236</v>
      </c>
      <c r="D84">
        <f t="shared" si="1323"/>
        <v>81</v>
      </c>
      <c r="E84">
        <f t="shared" si="1314"/>
        <v>-1.1630981222893899</v>
      </c>
      <c r="F84" t="e">
        <f t="shared" si="1325"/>
        <v>#NAME?</v>
      </c>
      <c r="V84">
        <f t="shared" si="1315"/>
        <v>81</v>
      </c>
      <c r="W84">
        <f t="shared" si="1316"/>
        <v>-1.1630981222893899</v>
      </c>
      <c r="X84" t="e">
        <f t="shared" si="1317"/>
        <v>#NAME?</v>
      </c>
      <c r="Y84" t="e">
        <f t="shared" si="1318"/>
        <v>#NAME?</v>
      </c>
      <c r="Z84" t="e">
        <f t="shared" si="1313"/>
        <v>#NAME?</v>
      </c>
      <c r="AA84" t="e">
        <f t="shared" si="1319"/>
        <v>#NAME?</v>
      </c>
      <c r="AB84" t="e">
        <f t="shared" si="1320"/>
        <v>#NAME?</v>
      </c>
      <c r="AD84">
        <f t="shared" si="1324"/>
        <v>81</v>
      </c>
      <c r="AE84">
        <f t="shared" si="1321"/>
        <v>9.1551835623632396</v>
      </c>
    </row>
    <row r="85">
      <c r="A85">
        <f t="shared" si="1322"/>
        <v>82</v>
      </c>
      <c r="B85">
        <v>7.9920854400738497</v>
      </c>
      <c r="D85">
        <f t="shared" si="1323"/>
        <v>82</v>
      </c>
      <c r="E85">
        <f t="shared" si="1314"/>
        <v>2.4474415565955501</v>
      </c>
      <c r="F85" t="e">
        <f t="shared" si="1325"/>
        <v>#NAME?</v>
      </c>
      <c r="V85">
        <f t="shared" si="1315"/>
        <v>82</v>
      </c>
      <c r="W85">
        <f t="shared" si="1316"/>
        <v>2.4474415565955501</v>
      </c>
      <c r="X85" t="e">
        <f t="shared" si="1317"/>
        <v>#NAME?</v>
      </c>
      <c r="Y85" t="e">
        <f t="shared" si="1318"/>
        <v>#NAME?</v>
      </c>
      <c r="Z85" t="e">
        <f t="shared" si="1313"/>
        <v>#NAME?</v>
      </c>
      <c r="AA85" t="e">
        <f t="shared" si="1319"/>
        <v>#NAME?</v>
      </c>
      <c r="AB85" t="e">
        <f t="shared" si="1320"/>
        <v>#NAME?</v>
      </c>
      <c r="AD85">
        <f t="shared" si="1324"/>
        <v>82</v>
      </c>
      <c r="AE85">
        <f t="shared" si="1321"/>
        <v>7.9920854400738497</v>
      </c>
    </row>
    <row r="86">
      <c r="A86">
        <f t="shared" si="1322"/>
        <v>83</v>
      </c>
      <c r="B86">
        <v>10.439526996669359</v>
      </c>
      <c r="D86">
        <f t="shared" si="1323"/>
        <v>83</v>
      </c>
      <c r="E86">
        <f t="shared" si="1314"/>
        <v>0.735725731752499</v>
      </c>
      <c r="F86" t="e">
        <f t="shared" si="1325"/>
        <v>#NAME?</v>
      </c>
      <c r="V86">
        <f t="shared" si="1315"/>
        <v>83</v>
      </c>
      <c r="W86">
        <f t="shared" si="1316"/>
        <v>0.735725731752499</v>
      </c>
      <c r="X86" t="e">
        <f t="shared" si="1317"/>
        <v>#NAME?</v>
      </c>
      <c r="Y86" t="e">
        <f t="shared" si="1318"/>
        <v>#NAME?</v>
      </c>
      <c r="Z86" t="e">
        <f t="shared" si="1313"/>
        <v>#NAME?</v>
      </c>
      <c r="AA86" t="e">
        <f t="shared" si="1319"/>
        <v>#NAME?</v>
      </c>
      <c r="AB86" t="e">
        <f t="shared" si="1320"/>
        <v>#NAME?</v>
      </c>
      <c r="AD86">
        <f t="shared" si="1324"/>
        <v>83</v>
      </c>
      <c r="AE86">
        <f t="shared" si="1321"/>
        <v>10.4395269966694</v>
      </c>
    </row>
    <row r="87">
      <c r="A87">
        <f t="shared" si="1322"/>
        <v>84</v>
      </c>
      <c r="B87">
        <v>11.175252728421924</v>
      </c>
      <c r="D87">
        <f t="shared" si="1323"/>
        <v>84</v>
      </c>
      <c r="E87">
        <f t="shared" si="1314"/>
        <v>-1.25374923935843</v>
      </c>
      <c r="F87" t="e">
        <f t="shared" si="1325"/>
        <v>#NAME?</v>
      </c>
      <c r="V87">
        <f t="shared" si="1315"/>
        <v>84</v>
      </c>
      <c r="W87">
        <f t="shared" si="1316"/>
        <v>-1.25374923935843</v>
      </c>
      <c r="X87" t="e">
        <f t="shared" si="1317"/>
        <v>#NAME?</v>
      </c>
      <c r="Y87" t="e">
        <f t="shared" si="1318"/>
        <v>#NAME?</v>
      </c>
      <c r="Z87" t="e">
        <f t="shared" si="1313"/>
        <v>#NAME?</v>
      </c>
      <c r="AA87" t="e">
        <f t="shared" si="1319"/>
        <v>#NAME?</v>
      </c>
      <c r="AB87" t="e">
        <f t="shared" si="1320"/>
        <v>#NAME?</v>
      </c>
      <c r="AD87">
        <f t="shared" si="1324"/>
        <v>84</v>
      </c>
      <c r="AE87">
        <f t="shared" si="1321"/>
        <v>11.175252728421899</v>
      </c>
    </row>
    <row r="88">
      <c r="A88">
        <f t="shared" si="1322"/>
        <v>85</v>
      </c>
      <c r="B88">
        <v>9.9215034890634719</v>
      </c>
      <c r="D88">
        <f t="shared" si="1323"/>
        <v>85</v>
      </c>
      <c r="E88">
        <f t="shared" si="1314"/>
        <v>0.73151537486162999</v>
      </c>
      <c r="F88" t="e">
        <f t="shared" si="1325"/>
        <v>#NAME?</v>
      </c>
      <c r="V88">
        <f t="shared" si="1315"/>
        <v>85</v>
      </c>
      <c r="W88">
        <f t="shared" si="1316"/>
        <v>0.73151537486162999</v>
      </c>
      <c r="X88" t="e">
        <f t="shared" si="1317"/>
        <v>#NAME?</v>
      </c>
      <c r="Y88" t="e">
        <f t="shared" si="1318"/>
        <v>#NAME?</v>
      </c>
      <c r="Z88" t="e">
        <f t="shared" si="1313"/>
        <v>#NAME?</v>
      </c>
      <c r="AA88" t="e">
        <f t="shared" si="1319"/>
        <v>#NAME?</v>
      </c>
      <c r="AB88" t="e">
        <f t="shared" si="1320"/>
        <v>#NAME?</v>
      </c>
      <c r="AD88">
        <f t="shared" si="1324"/>
        <v>85</v>
      </c>
      <c r="AE88">
        <f t="shared" si="1321"/>
        <v>9.9215034890634701</v>
      </c>
    </row>
    <row r="89">
      <c r="A89">
        <f t="shared" si="1322"/>
        <v>86</v>
      </c>
      <c r="B89">
        <v>10.653018863925139</v>
      </c>
      <c r="D89">
        <f t="shared" si="1323"/>
        <v>86</v>
      </c>
      <c r="E89">
        <f t="shared" si="1314"/>
        <v>-0.35205382796539902</v>
      </c>
      <c r="F89" t="e">
        <f t="shared" si="1325"/>
        <v>#NAME?</v>
      </c>
      <c r="V89">
        <f t="shared" si="1315"/>
        <v>86</v>
      </c>
      <c r="W89">
        <f t="shared" si="1316"/>
        <v>-0.35205382796539902</v>
      </c>
      <c r="X89" t="e">
        <f t="shared" si="1317"/>
        <v>#NAME?</v>
      </c>
      <c r="Y89" t="e">
        <f t="shared" si="1318"/>
        <v>#NAME?</v>
      </c>
      <c r="Z89" t="e">
        <f t="shared" si="1313"/>
        <v>#NAME?</v>
      </c>
      <c r="AA89" t="e">
        <f t="shared" si="1319"/>
        <v>#NAME?</v>
      </c>
      <c r="AB89" t="e">
        <f t="shared" si="1320"/>
        <v>#NAME?</v>
      </c>
      <c r="AD89">
        <f t="shared" si="1324"/>
        <v>86</v>
      </c>
      <c r="AE89">
        <f t="shared" si="1321"/>
        <v>10.6530188639251</v>
      </c>
    </row>
    <row r="90">
      <c r="A90">
        <f t="shared" si="1322"/>
        <v>87</v>
      </c>
      <c r="B90">
        <v>10.300965035959743</v>
      </c>
      <c r="D90">
        <f t="shared" si="1323"/>
        <v>87</v>
      </c>
      <c r="E90">
        <f t="shared" si="1314"/>
        <v>-0.97825339391925203</v>
      </c>
      <c r="F90" t="e">
        <f t="shared" si="1325"/>
        <v>#NAME?</v>
      </c>
      <c r="V90">
        <f t="shared" si="1315"/>
        <v>87</v>
      </c>
      <c r="W90">
        <f t="shared" si="1316"/>
        <v>-0.97825339391925203</v>
      </c>
      <c r="X90" t="e">
        <f t="shared" si="1317"/>
        <v>#NAME?</v>
      </c>
      <c r="Y90" t="e">
        <f t="shared" si="1318"/>
        <v>#NAME?</v>
      </c>
      <c r="Z90" t="e">
        <f t="shared" si="1313"/>
        <v>#NAME?</v>
      </c>
      <c r="AA90" t="e">
        <f t="shared" si="1319"/>
        <v>#NAME?</v>
      </c>
      <c r="AB90" t="e">
        <f t="shared" si="1320"/>
        <v>#NAME?</v>
      </c>
      <c r="AD90">
        <f t="shared" si="1324"/>
        <v>87</v>
      </c>
      <c r="AE90">
        <f t="shared" si="1321"/>
        <v>10.300965035959701</v>
      </c>
    </row>
    <row r="91">
      <c r="A91">
        <f t="shared" si="1322"/>
        <v>88</v>
      </c>
      <c r="B91">
        <v>9.322711642040451</v>
      </c>
      <c r="D91">
        <f t="shared" si="1323"/>
        <v>88</v>
      </c>
      <c r="E91">
        <f t="shared" si="1314"/>
        <v>1.88578525594155</v>
      </c>
      <c r="F91" t="e">
        <f t="shared" si="1325"/>
        <v>#NAME?</v>
      </c>
      <c r="V91">
        <f t="shared" si="1315"/>
        <v>88</v>
      </c>
      <c r="W91">
        <f t="shared" si="1316"/>
        <v>1.88578525594155</v>
      </c>
      <c r="X91" t="e">
        <f t="shared" si="1317"/>
        <v>#NAME?</v>
      </c>
      <c r="Y91" t="e">
        <f t="shared" si="1318"/>
        <v>#NAME?</v>
      </c>
      <c r="Z91" t="e">
        <f t="shared" si="1313"/>
        <v>#NAME?</v>
      </c>
      <c r="AA91" t="e">
        <f t="shared" si="1319"/>
        <v>#NAME?</v>
      </c>
      <c r="AB91" t="e">
        <f t="shared" si="1320"/>
        <v>#NAME?</v>
      </c>
      <c r="AD91">
        <f t="shared" si="1324"/>
        <v>88</v>
      </c>
      <c r="AE91">
        <f t="shared" si="1321"/>
        <v>9.3227116420404492</v>
      </c>
    </row>
    <row r="92">
      <c r="A92">
        <f t="shared" si="1322"/>
        <v>89</v>
      </c>
      <c r="B92">
        <v>11.208496897982</v>
      </c>
      <c r="D92">
        <f t="shared" si="1323"/>
        <v>89</v>
      </c>
      <c r="E92">
        <f t="shared" si="1314"/>
        <v>-1.37478464676694</v>
      </c>
      <c r="F92" t="e">
        <f t="shared" si="1325"/>
        <v>#NAME?</v>
      </c>
      <c r="V92">
        <f t="shared" si="1315"/>
        <v>89</v>
      </c>
      <c r="W92">
        <f t="shared" si="1316"/>
        <v>-1.37478464676694</v>
      </c>
      <c r="X92" t="e">
        <f t="shared" si="1317"/>
        <v>#NAME?</v>
      </c>
      <c r="Y92" t="e">
        <f t="shared" si="1318"/>
        <v>#NAME?</v>
      </c>
      <c r="Z92" t="e">
        <f t="shared" si="1313"/>
        <v>#NAME?</v>
      </c>
      <c r="AA92" t="e">
        <f t="shared" si="1319"/>
        <v>#NAME?</v>
      </c>
      <c r="AB92" t="e">
        <f t="shared" si="1320"/>
        <v>#NAME?</v>
      </c>
      <c r="AD92">
        <f t="shared" si="1324"/>
        <v>89</v>
      </c>
      <c r="AE92">
        <f t="shared" si="1321"/>
        <v>11.208496897982</v>
      </c>
    </row>
    <row r="93">
      <c r="A93">
        <f t="shared" si="1322"/>
        <v>90</v>
      </c>
      <c r="B93">
        <v>9.8337122512150561</v>
      </c>
      <c r="D93">
        <f t="shared" si="1323"/>
        <v>90</v>
      </c>
      <c r="E93">
        <f t="shared" si="1314"/>
        <v>1.17551665315204</v>
      </c>
      <c r="F93" t="e">
        <f t="shared" si="1325"/>
        <v>#NAME?</v>
      </c>
      <c r="V93">
        <f t="shared" si="1315"/>
        <v>90</v>
      </c>
      <c r="W93">
        <f t="shared" si="1316"/>
        <v>1.17551665315204</v>
      </c>
      <c r="X93" t="e">
        <f t="shared" si="1317"/>
        <v>#NAME?</v>
      </c>
      <c r="Y93" t="e">
        <f t="shared" si="1318"/>
        <v>#NAME?</v>
      </c>
      <c r="Z93" t="e">
        <f t="shared" si="1313"/>
        <v>#NAME?</v>
      </c>
      <c r="AA93" t="e">
        <f t="shared" si="1319"/>
        <v>#NAME?</v>
      </c>
      <c r="AB93" t="e">
        <f t="shared" si="1320"/>
        <v>#NAME?</v>
      </c>
      <c r="AD93">
        <f t="shared" si="1324"/>
        <v>90</v>
      </c>
      <c r="AE93">
        <f t="shared" si="1321"/>
        <v>9.8337122512150597</v>
      </c>
    </row>
    <row r="94">
      <c r="A94">
        <f t="shared" si="1322"/>
        <v>91</v>
      </c>
      <c r="B94">
        <v>11.009228904367124</v>
      </c>
      <c r="D94">
        <f t="shared" si="1323"/>
        <v>91</v>
      </c>
      <c r="E94">
        <f t="shared" si="1314"/>
        <v>-1.3370172401079301</v>
      </c>
      <c r="F94" t="e">
        <f t="shared" si="1325"/>
        <v>#NAME?</v>
      </c>
      <c r="V94">
        <f t="shared" si="1315"/>
        <v>91</v>
      </c>
      <c r="W94">
        <f t="shared" si="1316"/>
        <v>-1.3370172401079301</v>
      </c>
      <c r="X94" t="e">
        <f t="shared" si="1317"/>
        <v>#NAME?</v>
      </c>
      <c r="Y94" t="e">
        <f t="shared" si="1318"/>
        <v>#NAME?</v>
      </c>
      <c r="Z94" t="e">
        <f t="shared" si="1313"/>
        <v>#NAME?</v>
      </c>
      <c r="AA94" t="e">
        <f t="shared" si="1319"/>
        <v>#NAME?</v>
      </c>
      <c r="AB94" t="e">
        <f t="shared" si="1320"/>
        <v>#NAME?</v>
      </c>
      <c r="AD94">
        <f t="shared" si="1324"/>
        <v>91</v>
      </c>
      <c r="AE94">
        <f t="shared" si="1321"/>
        <v>11.009228904367101</v>
      </c>
    </row>
    <row r="95">
      <c r="A95">
        <f t="shared" si="1322"/>
        <v>92</v>
      </c>
      <c r="B95">
        <v>9.672211664259164</v>
      </c>
      <c r="D95">
        <f t="shared" si="1323"/>
        <v>92</v>
      </c>
      <c r="E95">
        <f t="shared" si="1314"/>
        <v>-1.6501564988329001</v>
      </c>
      <c r="F95" t="e">
        <f t="shared" si="1325"/>
        <v>#NAME?</v>
      </c>
      <c r="V95">
        <f t="shared" si="1315"/>
        <v>92</v>
      </c>
      <c r="W95">
        <f t="shared" si="1316"/>
        <v>-1.6501564988329001</v>
      </c>
      <c r="X95" t="e">
        <f t="shared" si="1317"/>
        <v>#NAME?</v>
      </c>
      <c r="Y95" t="e">
        <f t="shared" si="1318"/>
        <v>#NAME?</v>
      </c>
      <c r="Z95" t="e">
        <f t="shared" si="1313"/>
        <v>#NAME?</v>
      </c>
      <c r="AA95" t="e">
        <f t="shared" si="1319"/>
        <v>#NAME?</v>
      </c>
      <c r="AB95" t="e">
        <f t="shared" si="1320"/>
        <v>#NAME?</v>
      </c>
      <c r="AD95">
        <f t="shared" si="1324"/>
        <v>92</v>
      </c>
      <c r="AE95">
        <f t="shared" si="1321"/>
        <v>9.6722116642591693</v>
      </c>
    </row>
    <row r="96">
      <c r="A96">
        <f t="shared" si="1322"/>
        <v>93</v>
      </c>
      <c r="B96">
        <v>8.0220551654262664</v>
      </c>
      <c r="D96">
        <f t="shared" si="1323"/>
        <v>93</v>
      </c>
      <c r="E96">
        <f t="shared" si="1314"/>
        <v>1.07810532128201</v>
      </c>
      <c r="F96" t="e">
        <f t="shared" si="1325"/>
        <v>#NAME?</v>
      </c>
      <c r="V96">
        <f t="shared" si="1315"/>
        <v>93</v>
      </c>
      <c r="W96">
        <f t="shared" si="1316"/>
        <v>1.07810532128201</v>
      </c>
      <c r="X96" t="e">
        <f t="shared" si="1317"/>
        <v>#NAME?</v>
      </c>
      <c r="Y96" t="e">
        <f t="shared" si="1318"/>
        <v>#NAME?</v>
      </c>
      <c r="Z96" t="e">
        <f t="shared" si="1313"/>
        <v>#NAME?</v>
      </c>
      <c r="AA96" t="e">
        <f t="shared" si="1319"/>
        <v>#NAME?</v>
      </c>
      <c r="AB96" t="e">
        <f t="shared" si="1320"/>
        <v>#NAME?</v>
      </c>
      <c r="AD96">
        <f t="shared" si="1324"/>
        <v>93</v>
      </c>
      <c r="AE96">
        <f t="shared" si="1321"/>
        <v>8.02205516542627</v>
      </c>
    </row>
    <row r="97">
      <c r="A97">
        <f t="shared" si="1322"/>
        <v>94</v>
      </c>
      <c r="B97">
        <v>9.1001604867082797</v>
      </c>
      <c r="D97">
        <f t="shared" si="1323"/>
        <v>94</v>
      </c>
      <c r="E97">
        <f t="shared" si="1314"/>
        <v>1.19340308312362</v>
      </c>
      <c r="F97" t="e">
        <f t="shared" si="1325"/>
        <v>#NAME?</v>
      </c>
      <c r="V97">
        <f t="shared" si="1315"/>
        <v>94</v>
      </c>
      <c r="W97">
        <f t="shared" si="1316"/>
        <v>1.19340308312362</v>
      </c>
      <c r="X97" t="e">
        <f t="shared" si="1317"/>
        <v>#NAME?</v>
      </c>
      <c r="Y97" t="e">
        <f t="shared" si="1318"/>
        <v>#NAME?</v>
      </c>
      <c r="Z97" t="e">
        <f t="shared" si="1313"/>
        <v>#NAME?</v>
      </c>
      <c r="AA97" t="e">
        <f t="shared" si="1319"/>
        <v>#NAME?</v>
      </c>
      <c r="AB97" t="e">
        <f t="shared" si="1320"/>
        <v>#NAME?</v>
      </c>
      <c r="AD97">
        <f t="shared" si="1324"/>
        <v>94</v>
      </c>
      <c r="AE97">
        <f t="shared" si="1321"/>
        <v>9.1001604867082797</v>
      </c>
    </row>
    <row r="98">
      <c r="A98">
        <f t="shared" si="1322"/>
        <v>95</v>
      </c>
      <c r="B98">
        <v>10.293563569831946</v>
      </c>
      <c r="D98">
        <f t="shared" si="1323"/>
        <v>95</v>
      </c>
      <c r="E98">
        <f t="shared" si="1314"/>
        <v>0.58057432252460095</v>
      </c>
      <c r="F98" t="e">
        <f t="shared" si="1325"/>
        <v>#NAME?</v>
      </c>
      <c r="V98">
        <f t="shared" si="1315"/>
        <v>95</v>
      </c>
      <c r="W98">
        <f t="shared" si="1316"/>
        <v>0.58057432252460095</v>
      </c>
      <c r="X98" t="e">
        <f t="shared" si="1317"/>
        <v>#NAME?</v>
      </c>
      <c r="Y98" t="e">
        <f t="shared" si="1318"/>
        <v>#NAME?</v>
      </c>
      <c r="Z98" t="e">
        <f t="shared" si="1313"/>
        <v>#NAME?</v>
      </c>
      <c r="AA98" t="e">
        <f t="shared" si="1319"/>
        <v>#NAME?</v>
      </c>
      <c r="AB98" t="e">
        <f t="shared" si="1320"/>
        <v>#NAME?</v>
      </c>
      <c r="AD98">
        <f t="shared" si="1324"/>
        <v>95</v>
      </c>
      <c r="AE98">
        <f t="shared" si="1321"/>
        <v>10.2935635698319</v>
      </c>
    </row>
    <row r="99">
      <c r="A99">
        <f t="shared" si="1322"/>
        <v>96</v>
      </c>
      <c r="B99">
        <v>10.874137892356456</v>
      </c>
      <c r="D99">
        <f t="shared" si="1323"/>
        <v>96</v>
      </c>
      <c r="E99">
        <f>B100-B99</f>
        <v>0.1744510380256</v>
      </c>
      <c r="F99" t="e">
        <f t="shared" si="1325"/>
        <v>#NAME?</v>
      </c>
      <c r="V99">
        <f t="shared" si="1315"/>
        <v>96</v>
      </c>
      <c r="W99">
        <f t="shared" si="1316"/>
        <v>0.1744510380256</v>
      </c>
      <c r="X99" t="e">
        <f t="shared" si="1317"/>
        <v>#NAME?</v>
      </c>
      <c r="Y99" t="e">
        <f t="shared" si="1318"/>
        <v>#NAME?</v>
      </c>
      <c r="Z99" t="e">
        <f t="shared" si="1313"/>
        <v>#NAME?</v>
      </c>
      <c r="AA99" t="e">
        <f t="shared" si="1319"/>
        <v>#NAME?</v>
      </c>
      <c r="AB99" t="e">
        <f t="shared" si="1320"/>
        <v>#NAME?</v>
      </c>
      <c r="AD99">
        <f t="shared" si="1324"/>
        <v>96</v>
      </c>
      <c r="AE99">
        <f t="shared" si="1321"/>
        <v>10.874137892356501</v>
      </c>
    </row>
    <row r="100">
      <c r="A100">
        <f t="shared" si="1322"/>
        <v>97</v>
      </c>
      <c r="B100">
        <v>11.048588930382072</v>
      </c>
      <c r="D100">
        <f t="shared" si="1323"/>
        <v>97</v>
      </c>
      <c r="E100">
        <f t="shared" ref="E100:E107" si="1326">B101-B100</f>
        <v>-0.67148532197620103</v>
      </c>
      <c r="F100" t="e">
        <f>E100-SUMPRODUCT(E98:E99,I$4:I$5)-SUMPRODUCT(F99,J$5)</f>
        <v>#NAME?</v>
      </c>
      <c r="V100">
        <f t="shared" ref="V100:V107" si="1327">D100</f>
        <v>97</v>
      </c>
      <c r="W100">
        <f t="shared" ref="W100:W107" si="1328">E100</f>
        <v>-0.67148532197620103</v>
      </c>
      <c r="X100" t="e">
        <f t="shared" ref="X100:X107" si="1329">F100</f>
        <v>#NAME?</v>
      </c>
      <c r="Y100" t="e">
        <f t="shared" ref="Y100:Y107" si="1330">W100-X100</f>
        <v>#NAME?</v>
      </c>
      <c r="Z100" t="e">
        <f t="shared" si="1313"/>
        <v>#NAME?</v>
      </c>
      <c r="AA100" t="e">
        <f t="shared" ref="AA100:AA112" si="1331">Y100-NORMSINV(1-Z$2/2)*Z100</f>
        <v>#NAME?</v>
      </c>
      <c r="AB100" t="e">
        <f t="shared" ref="AB100:AB112" si="1332">Y100+NORMSINV(1-Z$2/2)*Z100</f>
        <v>#NAME?</v>
      </c>
      <c r="AD100">
        <f t="shared" si="1324"/>
        <v>97</v>
      </c>
      <c r="AE100">
        <f t="shared" ref="AE100:AE108" si="1333">B100</f>
        <v>11.048588930382101</v>
      </c>
    </row>
    <row r="101">
      <c r="A101">
        <f t="shared" ref="A101:A108" si="1334">A100+1</f>
        <v>98</v>
      </c>
      <c r="B101">
        <v>10.377103608405848</v>
      </c>
      <c r="D101">
        <f t="shared" ref="D101:D107" si="1335">D100+1</f>
        <v>98</v>
      </c>
      <c r="E101">
        <f t="shared" si="1326"/>
        <v>0.72362979806950101</v>
      </c>
      <c r="F101" t="e">
        <f>E101-SUMPRODUCT(E99:E100,I$4:I$5)-SUMPRODUCT(F100,J$5)</f>
        <v>#NAME?</v>
      </c>
      <c r="V101">
        <f t="shared" si="1327"/>
        <v>98</v>
      </c>
      <c r="W101">
        <f t="shared" si="1328"/>
        <v>0.72362979806950101</v>
      </c>
      <c r="X101" t="e">
        <f t="shared" si="1329"/>
        <v>#NAME?</v>
      </c>
      <c r="Y101" t="e">
        <f t="shared" si="1330"/>
        <v>#NAME?</v>
      </c>
      <c r="Z101" t="e">
        <f t="shared" si="1313"/>
        <v>#NAME?</v>
      </c>
      <c r="AA101" t="e">
        <f t="shared" si="1331"/>
        <v>#NAME?</v>
      </c>
      <c r="AB101" t="e">
        <f t="shared" si="1332"/>
        <v>#NAME?</v>
      </c>
      <c r="AD101">
        <f t="shared" ref="AD101:AD113" si="1336">AD100+1</f>
        <v>98</v>
      </c>
      <c r="AE101">
        <f t="shared" si="1333"/>
        <v>10.3771036084059</v>
      </c>
    </row>
    <row r="102">
      <c r="A102">
        <f t="shared" si="1334"/>
        <v>99</v>
      </c>
      <c r="B102">
        <v>11.100733406475408</v>
      </c>
      <c r="D102">
        <f t="shared" si="1335"/>
        <v>99</v>
      </c>
      <c r="E102">
        <f t="shared" si="1326"/>
        <v>-1.5442767167039599</v>
      </c>
      <c r="F102" t="e">
        <f t="shared" ref="F102:F107" si="1337">E102-SUMPRODUCT(E100:E101,I$4:I$5)-SUMPRODUCT(F101,J$5)</f>
        <v>#NAME?</v>
      </c>
      <c r="V102">
        <f t="shared" si="1327"/>
        <v>99</v>
      </c>
      <c r="W102">
        <f t="shared" si="1328"/>
        <v>-1.5442767167039599</v>
      </c>
      <c r="X102" t="e">
        <f t="shared" si="1329"/>
        <v>#NAME?</v>
      </c>
      <c r="Y102" t="e">
        <f t="shared" si="1330"/>
        <v>#NAME?</v>
      </c>
      <c r="Z102" t="e">
        <f t="shared" si="1313"/>
        <v>#NAME?</v>
      </c>
      <c r="AA102" t="e">
        <f t="shared" si="1331"/>
        <v>#NAME?</v>
      </c>
      <c r="AB102" t="e">
        <f t="shared" si="1332"/>
        <v>#NAME?</v>
      </c>
      <c r="AD102">
        <f t="shared" si="1336"/>
        <v>99</v>
      </c>
      <c r="AE102">
        <f t="shared" si="1333"/>
        <v>11.100733406475401</v>
      </c>
    </row>
    <row r="103">
      <c r="A103">
        <f t="shared" si="1334"/>
        <v>100</v>
      </c>
      <c r="B103">
        <v>9.5564566897714425</v>
      </c>
      <c r="D103">
        <f t="shared" si="1335"/>
        <v>100</v>
      </c>
      <c r="E103">
        <f t="shared" si="1326"/>
        <v>0.57015532242645905</v>
      </c>
      <c r="F103" t="e">
        <f t="shared" si="1337"/>
        <v>#NAME?</v>
      </c>
      <c r="V103">
        <f t="shared" si="1327"/>
        <v>100</v>
      </c>
      <c r="W103">
        <f t="shared" si="1328"/>
        <v>0.57015532242645905</v>
      </c>
      <c r="X103" t="e">
        <f t="shared" si="1329"/>
        <v>#NAME?</v>
      </c>
      <c r="Y103" t="e">
        <f t="shared" si="1330"/>
        <v>#NAME?</v>
      </c>
      <c r="Z103" t="e">
        <f t="shared" si="1313"/>
        <v>#NAME?</v>
      </c>
      <c r="AA103" t="e">
        <f t="shared" si="1331"/>
        <v>#NAME?</v>
      </c>
      <c r="AB103" t="e">
        <f t="shared" si="1332"/>
        <v>#NAME?</v>
      </c>
      <c r="AD103">
        <f t="shared" si="1336"/>
        <v>100</v>
      </c>
      <c r="AE103">
        <f t="shared" si="1333"/>
        <v>9.5564566897714407</v>
      </c>
    </row>
    <row r="104">
      <c r="A104">
        <f t="shared" si="1334"/>
        <v>101</v>
      </c>
      <c r="B104">
        <v>10.126612012197912</v>
      </c>
      <c r="D104">
        <f t="shared" si="1335"/>
        <v>101</v>
      </c>
      <c r="E104">
        <f t="shared" si="1326"/>
        <v>0.49204478752089997</v>
      </c>
      <c r="F104" t="e">
        <f t="shared" si="1337"/>
        <v>#NAME?</v>
      </c>
      <c r="V104">
        <f t="shared" si="1327"/>
        <v>101</v>
      </c>
      <c r="W104">
        <f t="shared" si="1328"/>
        <v>0.49204478752089997</v>
      </c>
      <c r="X104" t="e">
        <f t="shared" si="1329"/>
        <v>#NAME?</v>
      </c>
      <c r="Y104" t="e">
        <f t="shared" si="1330"/>
        <v>#NAME?</v>
      </c>
      <c r="Z104" t="e">
        <f t="shared" si="1313"/>
        <v>#NAME?</v>
      </c>
      <c r="AA104" t="e">
        <f t="shared" si="1331"/>
        <v>#NAME?</v>
      </c>
      <c r="AB104" t="e">
        <f t="shared" si="1332"/>
        <v>#NAME?</v>
      </c>
      <c r="AD104">
        <f t="shared" si="1336"/>
        <v>101</v>
      </c>
      <c r="AE104">
        <f t="shared" si="1333"/>
        <v>10.126612012197899</v>
      </c>
    </row>
    <row r="105">
      <c r="A105">
        <f t="shared" si="1334"/>
        <v>102</v>
      </c>
      <c r="B105">
        <v>10.618656799718755</v>
      </c>
      <c r="D105">
        <f t="shared" si="1335"/>
        <v>102</v>
      </c>
      <c r="E105">
        <f t="shared" si="1326"/>
        <v>0.7507208477949</v>
      </c>
      <c r="F105" t="e">
        <f t="shared" si="1337"/>
        <v>#NAME?</v>
      </c>
      <c r="V105">
        <f t="shared" si="1327"/>
        <v>102</v>
      </c>
      <c r="W105">
        <f t="shared" si="1328"/>
        <v>0.7507208477949</v>
      </c>
      <c r="X105" t="e">
        <f t="shared" si="1329"/>
        <v>#NAME?</v>
      </c>
      <c r="Y105" t="e">
        <f t="shared" si="1330"/>
        <v>#NAME?</v>
      </c>
      <c r="Z105" t="e">
        <f t="shared" si="1313"/>
        <v>#NAME?</v>
      </c>
      <c r="AA105" t="e">
        <f t="shared" si="1331"/>
        <v>#NAME?</v>
      </c>
      <c r="AB105" t="e">
        <f t="shared" si="1332"/>
        <v>#NAME?</v>
      </c>
      <c r="AD105">
        <f t="shared" si="1336"/>
        <v>102</v>
      </c>
      <c r="AE105">
        <f t="shared" si="1333"/>
        <v>10.618656799718799</v>
      </c>
    </row>
    <row r="106">
      <c r="A106">
        <f t="shared" si="1334"/>
        <v>103</v>
      </c>
      <c r="B106">
        <v>11.369377647513677</v>
      </c>
      <c r="D106">
        <f t="shared" si="1335"/>
        <v>103</v>
      </c>
      <c r="E106">
        <f t="shared" si="1326"/>
        <v>-0.60793542727829897</v>
      </c>
      <c r="F106" t="e">
        <f t="shared" si="1337"/>
        <v>#NAME?</v>
      </c>
      <c r="V106">
        <f t="shared" si="1327"/>
        <v>103</v>
      </c>
      <c r="W106">
        <f t="shared" si="1328"/>
        <v>-0.60793542727829897</v>
      </c>
      <c r="X106" t="e">
        <f t="shared" si="1329"/>
        <v>#NAME?</v>
      </c>
      <c r="Y106" t="e">
        <f t="shared" si="1330"/>
        <v>#NAME?</v>
      </c>
      <c r="Z106" t="e">
        <f t="shared" si="1313"/>
        <v>#NAME?</v>
      </c>
      <c r="AA106" t="e">
        <f t="shared" si="1331"/>
        <v>#NAME?</v>
      </c>
      <c r="AB106" t="e">
        <f t="shared" si="1332"/>
        <v>#NAME?</v>
      </c>
      <c r="AD106">
        <f t="shared" si="1336"/>
        <v>103</v>
      </c>
      <c r="AE106">
        <f t="shared" si="1333"/>
        <v>11.3693776475137</v>
      </c>
    </row>
    <row r="107">
      <c r="A107">
        <f t="shared" si="1334"/>
        <v>104</v>
      </c>
      <c r="B107">
        <v>10.761442220235375</v>
      </c>
      <c r="D107" s="14">
        <f t="shared" si="1335"/>
        <v>104</v>
      </c>
      <c r="E107" s="14">
        <f t="shared" si="1326"/>
        <v>1.1933228352476</v>
      </c>
      <c r="F107" s="14" t="e">
        <f t="shared" si="1337"/>
        <v>#NAME?</v>
      </c>
      <c r="V107">
        <f t="shared" si="1327"/>
        <v>104</v>
      </c>
      <c r="W107">
        <f t="shared" si="1328"/>
        <v>1.1933228352476</v>
      </c>
      <c r="X107" t="e">
        <f t="shared" si="1329"/>
        <v>#NAME?</v>
      </c>
      <c r="Y107" t="e">
        <f t="shared" si="1330"/>
        <v>#NAME?</v>
      </c>
      <c r="Z107" t="e">
        <f t="shared" si="1313"/>
        <v>#NAME?</v>
      </c>
      <c r="AA107" t="e">
        <f t="shared" si="1331"/>
        <v>#NAME?</v>
      </c>
      <c r="AB107" t="e">
        <f t="shared" si="1332"/>
        <v>#NAME?</v>
      </c>
      <c r="AD107">
        <f t="shared" si="1336"/>
        <v>104</v>
      </c>
      <c r="AE107">
        <f t="shared" si="1333"/>
        <v>10.7614422202354</v>
      </c>
    </row>
    <row r="108">
      <c r="A108">
        <f t="shared" si="1334"/>
        <v>105</v>
      </c>
      <c r="B108" s="14">
        <v>11.954765055482961</v>
      </c>
      <c r="V108">
        <f t="shared" ref="V108:V112" si="1338">V107+1</f>
        <v>105</v>
      </c>
      <c r="Y108" t="e">
        <f>SUMPRODUCT(W106:W107,I$4:I$5)+SUMPRODUCT(X107,J$5)</f>
        <v>#NAME?</v>
      </c>
      <c r="Z108" t="e">
        <f t="shared" ref="Z108:Z112" si="1339">J$15*SQRT(SUMSQ(M$15:M15))</f>
        <v>#NAME?</v>
      </c>
      <c r="AA108" t="e">
        <f t="shared" si="1331"/>
        <v>#NAME?</v>
      </c>
      <c r="AB108" t="e">
        <f t="shared" si="1332"/>
        <v>#NAME?</v>
      </c>
      <c r="AD108" s="14">
        <f t="shared" si="1336"/>
        <v>105</v>
      </c>
      <c r="AE108" s="14">
        <f t="shared" si="1333"/>
        <v>11.954765055483</v>
      </c>
    </row>
    <row r="109">
      <c r="V109">
        <f t="shared" si="1338"/>
        <v>106</v>
      </c>
      <c r="Y109" t="e">
        <f>SUMPRODUCT(W107,I4)+SUMPRODUCT(Y108,I5)</f>
        <v>#NAME?</v>
      </c>
      <c r="Z109" t="e">
        <f t="shared" si="1339"/>
        <v>#NAME?</v>
      </c>
      <c r="AA109" t="e">
        <f t="shared" si="1331"/>
        <v>#NAME?</v>
      </c>
      <c r="AB109" t="e">
        <f t="shared" si="1332"/>
        <v>#NAME?</v>
      </c>
      <c r="AD109">
        <f t="shared" si="1336"/>
        <v>106</v>
      </c>
      <c r="AE109" t="e">
        <f t="shared" ref="AE109:AE113" si="1340">Y108+AE108</f>
        <v>#NAME?</v>
      </c>
    </row>
    <row r="110">
      <c r="V110">
        <f t="shared" si="1338"/>
        <v>107</v>
      </c>
      <c r="Y110" t="e">
        <f>SUMPRODUCT(Y108:Y109,I4:I5)</f>
        <v>#NAME?</v>
      </c>
      <c r="Z110" t="e">
        <f t="shared" si="1339"/>
        <v>#NAME?</v>
      </c>
      <c r="AA110" t="e">
        <f t="shared" si="1331"/>
        <v>#NAME?</v>
      </c>
      <c r="AB110" t="e">
        <f t="shared" si="1332"/>
        <v>#NAME?</v>
      </c>
      <c r="AD110">
        <f t="shared" si="1336"/>
        <v>107</v>
      </c>
      <c r="AE110" t="e">
        <f t="shared" si="1340"/>
        <v>#NAME?</v>
      </c>
    </row>
    <row r="111">
      <c r="V111">
        <f t="shared" si="1338"/>
        <v>108</v>
      </c>
      <c r="Y111" t="e">
        <f>SUMPRODUCT(Y109:Y110,I4:I5)</f>
        <v>#NAME?</v>
      </c>
      <c r="Z111" t="e">
        <f t="shared" si="1339"/>
        <v>#NAME?</v>
      </c>
      <c r="AA111" t="e">
        <f t="shared" si="1331"/>
        <v>#NAME?</v>
      </c>
      <c r="AB111" t="e">
        <f t="shared" si="1332"/>
        <v>#NAME?</v>
      </c>
      <c r="AD111">
        <f t="shared" si="1336"/>
        <v>108</v>
      </c>
      <c r="AE111" t="e">
        <f t="shared" si="1340"/>
        <v>#NAME?</v>
      </c>
    </row>
    <row r="112">
      <c r="V112" s="14">
        <f t="shared" si="1338"/>
        <v>109</v>
      </c>
      <c r="W112" s="14"/>
      <c r="X112" s="14"/>
      <c r="Y112" s="14" t="e">
        <f>SUMPRODUCT(Y110:Y111,I4:I5)</f>
        <v>#NAME?</v>
      </c>
      <c r="Z112" s="14" t="e">
        <f t="shared" si="1339"/>
        <v>#NAME?</v>
      </c>
      <c r="AA112" s="14" t="e">
        <f t="shared" si="1331"/>
        <v>#NAME?</v>
      </c>
      <c r="AB112" s="14" t="e">
        <f t="shared" si="1332"/>
        <v>#NAME?</v>
      </c>
      <c r="AD112">
        <f t="shared" si="1336"/>
        <v>109</v>
      </c>
      <c r="AE112" t="e">
        <f t="shared" si="1340"/>
        <v>#NAME?</v>
      </c>
    </row>
    <row r="113">
      <c r="AD113" s="14">
        <f t="shared" si="1336"/>
        <v>110</v>
      </c>
      <c r="AE113" s="14" t="e">
        <f t="shared" si="1340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</cols>
  <sheetData>
    <row r="1">
      <c r="A1" s="1" t="s">
        <v>589</v>
      </c>
      <c r="D1" t="s">
        <v>578</v>
      </c>
      <c r="H1" t="s">
        <v>590</v>
      </c>
      <c r="L1" t="s">
        <v>476</v>
      </c>
      <c r="P1" t="s">
        <v>591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486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>
        <f t="shared" ref="E4:E8" si="1341">B5-B4</f>
        <v>2.69057543823339</v>
      </c>
      <c r="F4">
        <v>0</v>
      </c>
      <c r="H4" s="15">
        <v>2</v>
      </c>
      <c r="I4">
        <v>0.58342163784420886</v>
      </c>
      <c r="J4">
        <v>0</v>
      </c>
      <c r="L4" t="e">
        <v>#NAME?</v>
      </c>
      <c r="M4" t="e">
        <v>#NAME?</v>
      </c>
      <c r="N4" t="e">
        <v>#NAME?</v>
      </c>
      <c r="P4" s="26" t="s">
        <v>283</v>
      </c>
      <c r="Q4" s="26">
        <f>J16</f>
        <v>6.9098004481385006e-02</v>
      </c>
      <c r="R4" s="26">
        <f>J17/SQRT(J18)</f>
        <v>0.127011947226008</v>
      </c>
      <c r="S4" s="26">
        <f>Q4/R4</f>
        <v>0.544027597328544</v>
      </c>
      <c r="T4" s="26">
        <f>TDIST(ABS(S4),J$18-1,2)</f>
        <v>0.58762144552379603</v>
      </c>
      <c r="V4">
        <f t="shared" ref="V4:V9" si="1342">D4</f>
        <v>1</v>
      </c>
      <c r="W4">
        <f t="shared" ref="W4:W9" si="1343">E4</f>
        <v>2.69057543823339</v>
      </c>
      <c r="X4">
        <f t="shared" ref="X4:X9" si="1344">F4</f>
        <v>0</v>
      </c>
      <c r="Y4">
        <f t="shared" ref="Y4:Y9" si="1345">W4-X4</f>
        <v>2.69057543823339</v>
      </c>
      <c r="Z4">
        <f t="shared" ref="Z4:Z67" si="1346">J$15</f>
        <v>1.1002814389078199</v>
      </c>
      <c r="AA4">
        <f t="shared" ref="AA4:AA9" si="1347">Y4-NORMSINV(1-Z$2/2)*Z4</f>
        <v>0.53406355141449002</v>
      </c>
      <c r="AB4">
        <f t="shared" ref="AB4:AB9" si="1348">Y4+NORMSINV(1-Z$2/2)*Z4</f>
        <v>4.8470873250522901</v>
      </c>
      <c r="AD4">
        <v>1</v>
      </c>
      <c r="AE4">
        <f t="shared" ref="AE4:AE9" si="1349">B4</f>
        <v>3.1176756475655401</v>
      </c>
    </row>
    <row r="5">
      <c r="A5">
        <f t="shared" ref="A5:A10" si="1350">A4+1</f>
        <v>2</v>
      </c>
      <c r="B5">
        <v>5.8082510857989273</v>
      </c>
      <c r="D5">
        <f t="shared" ref="D5:D10" si="1351">D4+1</f>
        <v>2</v>
      </c>
      <c r="E5">
        <f t="shared" si="1341"/>
        <v>-0.90148248741715009</v>
      </c>
      <c r="F5">
        <v>0</v>
      </c>
      <c r="H5" s="15">
        <f>H4-1</f>
        <v>1</v>
      </c>
      <c r="I5">
        <v>0.38799563487101513</v>
      </c>
      <c r="J5">
        <v>-1.0903416610931294</v>
      </c>
      <c r="L5" s="14" t="e">
        <v>#NAME?</v>
      </c>
      <c r="M5" s="14" t="e">
        <v>#NAME?</v>
      </c>
      <c r="N5" s="14" t="e">
        <v>#NAME?</v>
      </c>
      <c r="V5">
        <f t="shared" si="1342"/>
        <v>2</v>
      </c>
      <c r="W5">
        <f t="shared" si="1343"/>
        <v>-0.90148248741715009</v>
      </c>
      <c r="X5">
        <f t="shared" si="1344"/>
        <v>0</v>
      </c>
      <c r="Y5">
        <f t="shared" si="1345"/>
        <v>-0.90148248741715009</v>
      </c>
      <c r="Z5">
        <f t="shared" si="1346"/>
        <v>1.1002814389078199</v>
      </c>
      <c r="AA5">
        <f t="shared" si="1347"/>
        <v>-3.05799437423605</v>
      </c>
      <c r="AB5">
        <f t="shared" si="1348"/>
        <v>1.2550293994017501</v>
      </c>
      <c r="AD5">
        <f t="shared" ref="AD5:AD10" si="1352">AD4+1</f>
        <v>2</v>
      </c>
      <c r="AE5">
        <f t="shared" si="1349"/>
        <v>5.80825108579893</v>
      </c>
    </row>
    <row r="6">
      <c r="A6">
        <f t="shared" si="1350"/>
        <v>3</v>
      </c>
      <c r="B6">
        <v>4.9067685983817757</v>
      </c>
      <c r="D6">
        <f t="shared" si="1351"/>
        <v>3</v>
      </c>
      <c r="E6">
        <f t="shared" si="1341"/>
        <v>1.2127058838784599</v>
      </c>
      <c r="F6">
        <f t="shared" ref="F6:F9" si="1353">E6-SUMPRODUCT(E4:E5,I$4:I$5)-SUMPRODUCT(F5,J$5)</f>
        <v>-7.2627750085499992e-03</v>
      </c>
      <c r="H6" s="17" t="s">
        <v>494</v>
      </c>
      <c r="I6" s="14">
        <v>0</v>
      </c>
      <c r="J6" s="14">
        <v>0</v>
      </c>
      <c r="V6">
        <f t="shared" si="1342"/>
        <v>3</v>
      </c>
      <c r="W6">
        <f t="shared" si="1343"/>
        <v>1.2127058838784599</v>
      </c>
      <c r="X6">
        <f t="shared" si="1344"/>
        <v>-7.2627750085499992e-03</v>
      </c>
      <c r="Y6">
        <f t="shared" si="1345"/>
        <v>1.21996865888701</v>
      </c>
      <c r="Z6">
        <f t="shared" si="1346"/>
        <v>1.1002814389078199</v>
      </c>
      <c r="AA6">
        <f t="shared" si="1347"/>
        <v>-0.93654322793189004</v>
      </c>
      <c r="AB6">
        <f t="shared" si="1348"/>
        <v>3.3764805457059102</v>
      </c>
      <c r="AD6">
        <f t="shared" si="1352"/>
        <v>3</v>
      </c>
      <c r="AE6">
        <f t="shared" si="1349"/>
        <v>4.9067685983817801</v>
      </c>
    </row>
    <row r="7">
      <c r="A7">
        <f t="shared" si="1350"/>
        <v>4</v>
      </c>
      <c r="B7">
        <v>6.1194744822602418</v>
      </c>
      <c r="D7">
        <f t="shared" si="1351"/>
        <v>4</v>
      </c>
      <c r="E7">
        <f t="shared" si="1341"/>
        <v>2.0158518295054701</v>
      </c>
      <c r="F7">
        <f t="shared" si="1353"/>
        <v>2.06335272330805</v>
      </c>
      <c r="L7" t="s">
        <v>495</v>
      </c>
      <c r="V7">
        <f t="shared" si="1342"/>
        <v>4</v>
      </c>
      <c r="W7">
        <f t="shared" si="1343"/>
        <v>2.0158518295054701</v>
      </c>
      <c r="X7">
        <f t="shared" si="1344"/>
        <v>2.06335272330805</v>
      </c>
      <c r="Y7">
        <f t="shared" si="1345"/>
        <v>-4.7500893802579991e-02</v>
      </c>
      <c r="Z7">
        <f t="shared" si="1346"/>
        <v>1.1002814389078199</v>
      </c>
      <c r="AA7">
        <f t="shared" si="1347"/>
        <v>-2.20401278062148</v>
      </c>
      <c r="AB7">
        <f t="shared" si="1348"/>
        <v>2.1090109930163199</v>
      </c>
      <c r="AD7">
        <f t="shared" si="1352"/>
        <v>4</v>
      </c>
      <c r="AE7">
        <f t="shared" si="1349"/>
        <v>6.11947448226024</v>
      </c>
    </row>
    <row r="8">
      <c r="A8">
        <f t="shared" si="1350"/>
        <v>5</v>
      </c>
      <c r="B8">
        <v>8.1353263117657075</v>
      </c>
      <c r="D8">
        <f t="shared" si="1351"/>
        <v>5</v>
      </c>
      <c r="E8">
        <f t="shared" si="1341"/>
        <v>1.2095411148802699</v>
      </c>
      <c r="F8">
        <f t="shared" si="1353"/>
        <v>1.9696399872424499</v>
      </c>
      <c r="I8" t="s">
        <v>464</v>
      </c>
      <c r="J8" s="18">
        <f>SUMSQ(F6:F107)</f>
        <v>123.483162970116</v>
      </c>
      <c r="V8">
        <f t="shared" si="1342"/>
        <v>5</v>
      </c>
      <c r="W8">
        <f t="shared" si="1343"/>
        <v>1.2095411148802699</v>
      </c>
      <c r="X8">
        <f t="shared" si="1344"/>
        <v>1.9696399872424499</v>
      </c>
      <c r="Y8">
        <f t="shared" si="1345"/>
        <v>-0.76009887236217999</v>
      </c>
      <c r="Z8">
        <f t="shared" si="1346"/>
        <v>1.1002814389078199</v>
      </c>
      <c r="AA8">
        <f t="shared" si="1347"/>
        <v>-2.9166107591810801</v>
      </c>
      <c r="AB8">
        <f t="shared" si="1348"/>
        <v>1.3964130144567199</v>
      </c>
      <c r="AD8">
        <f t="shared" si="1352"/>
        <v>5</v>
      </c>
      <c r="AE8">
        <f t="shared" si="1349"/>
        <v>8.1353263117657093</v>
      </c>
    </row>
    <row r="9">
      <c r="A9">
        <f t="shared" si="1350"/>
        <v>6</v>
      </c>
      <c r="B9">
        <v>9.3448674266459744</v>
      </c>
      <c r="D9">
        <f t="shared" si="1351"/>
        <v>6</v>
      </c>
      <c r="E9">
        <f>B10-B9</f>
        <v>-0.19721674275881898</v>
      </c>
      <c r="F9">
        <f t="shared" si="1353"/>
        <v>0.30497554389467002</v>
      </c>
      <c r="L9" s="24" t="s">
        <v>469</v>
      </c>
      <c r="M9" s="24" t="s">
        <v>470</v>
      </c>
      <c r="N9" s="24" t="s">
        <v>484</v>
      </c>
      <c r="V9">
        <f t="shared" si="1342"/>
        <v>6</v>
      </c>
      <c r="W9">
        <f t="shared" si="1343"/>
        <v>-0.19721674275881898</v>
      </c>
      <c r="X9">
        <f t="shared" si="1344"/>
        <v>0.30497554389467002</v>
      </c>
      <c r="Y9">
        <f t="shared" si="1345"/>
        <v>-0.50219228665348903</v>
      </c>
      <c r="Z9">
        <f t="shared" si="1346"/>
        <v>1.1002814389078199</v>
      </c>
      <c r="AA9">
        <f t="shared" si="1347"/>
        <v>-2.65870417347239</v>
      </c>
      <c r="AB9">
        <f t="shared" si="1348"/>
        <v>1.6543196001654099</v>
      </c>
      <c r="AD9">
        <f t="shared" si="1352"/>
        <v>6</v>
      </c>
      <c r="AE9">
        <f t="shared" si="1349"/>
        <v>9.3448674266459797</v>
      </c>
    </row>
    <row r="10">
      <c r="A10">
        <f t="shared" si="1350"/>
        <v>7</v>
      </c>
      <c r="B10">
        <v>9.1476506838871607</v>
      </c>
      <c r="D10">
        <f t="shared" si="1351"/>
        <v>7</v>
      </c>
      <c r="E10">
        <f t="shared" ref="E10:E73" si="1354">B11-B10</f>
        <v>-1.04615740258418</v>
      </c>
      <c r="F10">
        <f>E10-SUMPRODUCT(E8:E9,I$4:I$5)-SUMPRODUCT(F9,J$5)</f>
        <v>-1.34278308443075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V10">
        <f t="shared" ref="V10:V73" si="1355">D10</f>
        <v>7</v>
      </c>
      <c r="W10">
        <f t="shared" ref="W10:W73" si="1356">E10</f>
        <v>-1.04615740258418</v>
      </c>
      <c r="X10">
        <f t="shared" ref="X10:X73" si="1357">F10</f>
        <v>-1.34278308443075</v>
      </c>
      <c r="Y10">
        <f t="shared" ref="Y10:Y73" si="1358">W10-X10</f>
        <v>0.29662568184657001</v>
      </c>
      <c r="Z10">
        <f t="shared" si="1346"/>
        <v>1.1002814389078199</v>
      </c>
      <c r="AA10">
        <f t="shared" ref="AA10:AA73" si="1359">Y10-NORMSINV(1-Z$2/2)*Z10</f>
        <v>-1.8598862049723299</v>
      </c>
      <c r="AB10">
        <f t="shared" ref="AB10:AB73" si="1360">Y10+NORMSINV(1-Z$2/2)*Z10</f>
        <v>2.4531375686654702</v>
      </c>
      <c r="AD10">
        <f t="shared" si="1352"/>
        <v>7</v>
      </c>
      <c r="AE10">
        <f t="shared" ref="AE10:AE73" si="1361">B10</f>
        <v>9.1476506838871607</v>
      </c>
    </row>
    <row r="11">
      <c r="A11">
        <f t="shared" ref="A11:A74" si="1362">A10+1</f>
        <v>8</v>
      </c>
      <c r="B11">
        <v>8.101493281302977</v>
      </c>
      <c r="D11">
        <f t="shared" ref="D11:D74" si="1363">D10+1</f>
        <v>8</v>
      </c>
      <c r="E11">
        <f t="shared" si="1354"/>
        <v>2.0449257478699199</v>
      </c>
      <c r="F11">
        <f>E11-SUMPRODUCT(E9:E10,I$4:I$5)-SUMPRODUCT(F10,J$5)</f>
        <v>1.1017984297652501</v>
      </c>
      <c r="I11" t="s">
        <v>498</v>
      </c>
      <c r="J11" s="10">
        <v>1</v>
      </c>
      <c r="V11">
        <f t="shared" si="1355"/>
        <v>8</v>
      </c>
      <c r="W11">
        <f t="shared" si="1356"/>
        <v>2.0449257478699199</v>
      </c>
      <c r="X11">
        <f t="shared" si="1357"/>
        <v>1.1017984297652501</v>
      </c>
      <c r="Y11">
        <f t="shared" si="1358"/>
        <v>0.94312731810466999</v>
      </c>
      <c r="Z11">
        <f t="shared" si="1346"/>
        <v>1.1002814389078199</v>
      </c>
      <c r="AA11">
        <f t="shared" si="1359"/>
        <v>-1.2133845687142299</v>
      </c>
      <c r="AB11">
        <f t="shared" si="1360"/>
        <v>3.0996392049235699</v>
      </c>
      <c r="AD11">
        <f t="shared" ref="AD11:AD74" si="1364">AD10+1</f>
        <v>8</v>
      </c>
      <c r="AE11">
        <f t="shared" si="1361"/>
        <v>8.1014932813029805</v>
      </c>
    </row>
    <row r="12">
      <c r="A12">
        <f t="shared" si="1362"/>
        <v>9</v>
      </c>
      <c r="B12">
        <v>10.146419029172929</v>
      </c>
      <c r="D12">
        <f t="shared" si="1363"/>
        <v>9</v>
      </c>
      <c r="E12">
        <f t="shared" si="1354"/>
        <v>0.89877731983130005</v>
      </c>
      <c r="F12">
        <f t="shared" ref="F12:F75" si="1365">E12-SUMPRODUCT(E10:E11,I$4:I$5)-SUMPRODUCT(F11,J$5)</f>
        <v>1.91704265138097</v>
      </c>
      <c r="I12" t="s">
        <v>181</v>
      </c>
      <c r="J12" s="10">
        <v>1</v>
      </c>
      <c r="L12" t="s">
        <v>499</v>
      </c>
      <c r="V12">
        <f t="shared" si="1355"/>
        <v>9</v>
      </c>
      <c r="W12">
        <f t="shared" si="1356"/>
        <v>0.89877731983130005</v>
      </c>
      <c r="X12">
        <f t="shared" si="1357"/>
        <v>1.91704265138097</v>
      </c>
      <c r="Y12">
        <f t="shared" si="1358"/>
        <v>-1.0182653315496699</v>
      </c>
      <c r="Z12">
        <f t="shared" si="1346"/>
        <v>1.1002814389078199</v>
      </c>
      <c r="AA12">
        <f t="shared" si="1359"/>
        <v>-3.1747772183685701</v>
      </c>
      <c r="AB12">
        <f t="shared" si="1360"/>
        <v>1.13824655526923</v>
      </c>
      <c r="AD12">
        <f t="shared" si="1364"/>
        <v>9</v>
      </c>
      <c r="AE12">
        <f t="shared" si="1361"/>
        <v>10.1464190291729</v>
      </c>
    </row>
    <row r="13">
      <c r="A13">
        <f t="shared" si="1362"/>
        <v>10</v>
      </c>
      <c r="B13">
        <v>11.045196349004179</v>
      </c>
      <c r="D13">
        <f t="shared" si="1363"/>
        <v>10</v>
      </c>
      <c r="E13">
        <f t="shared" si="1354"/>
        <v>-0.92261826882120013</v>
      </c>
      <c r="F13">
        <f t="shared" si="1365"/>
        <v>-0.37416240583577998</v>
      </c>
      <c r="I13" t="s">
        <v>500</v>
      </c>
      <c r="J13" s="10">
        <f>AVERAGE(F6:F107)</f>
        <v>4.1858999435870008e-02</v>
      </c>
      <c r="V13">
        <f t="shared" si="1355"/>
        <v>10</v>
      </c>
      <c r="W13">
        <f t="shared" si="1356"/>
        <v>-0.92261826882120013</v>
      </c>
      <c r="X13">
        <f t="shared" si="1357"/>
        <v>-0.37416240583577998</v>
      </c>
      <c r="Y13">
        <f t="shared" si="1358"/>
        <v>-0.54845586298542004</v>
      </c>
      <c r="Z13">
        <f t="shared" si="1346"/>
        <v>1.1002814389078199</v>
      </c>
      <c r="AA13">
        <f t="shared" si="1359"/>
        <v>-2.7049677498043199</v>
      </c>
      <c r="AB13">
        <f t="shared" si="1360"/>
        <v>1.60805602383348</v>
      </c>
      <c r="AD13">
        <f t="shared" si="1364"/>
        <v>10</v>
      </c>
      <c r="AE13">
        <f t="shared" si="1361"/>
        <v>11.0451963490042</v>
      </c>
    </row>
    <row r="14">
      <c r="A14">
        <f t="shared" si="1362"/>
        <v>11</v>
      </c>
      <c r="B14">
        <v>10.122578080182986</v>
      </c>
      <c r="D14">
        <f t="shared" si="1363"/>
        <v>11</v>
      </c>
      <c r="E14">
        <f t="shared" si="1354"/>
        <v>5.1024164269100003e-02</v>
      </c>
      <c r="F14">
        <f t="shared" si="1365"/>
        <v>-0.52333496986681305</v>
      </c>
      <c r="I14" t="s">
        <v>502</v>
      </c>
      <c r="J14" s="10">
        <f>STDEV(F6:F107)</f>
        <v>1.10491449888767</v>
      </c>
      <c r="L14" s="24" t="s">
        <v>481</v>
      </c>
      <c r="M14" s="24" t="s">
        <v>501</v>
      </c>
      <c r="V14">
        <f t="shared" si="1355"/>
        <v>11</v>
      </c>
      <c r="W14">
        <f t="shared" si="1356"/>
        <v>5.1024164269100003e-02</v>
      </c>
      <c r="X14">
        <f t="shared" si="1357"/>
        <v>-0.52333496986681305</v>
      </c>
      <c r="Y14">
        <f t="shared" si="1358"/>
        <v>0.574359134135913</v>
      </c>
      <c r="Z14">
        <f t="shared" si="1346"/>
        <v>1.1002814389078199</v>
      </c>
      <c r="AA14">
        <f t="shared" si="1359"/>
        <v>-1.5821527526829899</v>
      </c>
      <c r="AB14">
        <f t="shared" si="1360"/>
        <v>2.7308710209548099</v>
      </c>
      <c r="AD14">
        <f t="shared" si="1364"/>
        <v>11</v>
      </c>
      <c r="AE14">
        <f t="shared" si="1361"/>
        <v>10.122578080183001</v>
      </c>
    </row>
    <row r="15">
      <c r="A15">
        <f t="shared" si="1362"/>
        <v>12</v>
      </c>
      <c r="B15">
        <v>10.173602244452049</v>
      </c>
      <c r="D15">
        <f t="shared" si="1363"/>
        <v>12</v>
      </c>
      <c r="E15">
        <f t="shared" si="1354"/>
        <v>0.64770755644069999</v>
      </c>
      <c r="F15">
        <f t="shared" si="1365"/>
        <v>0.59557194457929596</v>
      </c>
      <c r="I15" t="s">
        <v>503</v>
      </c>
      <c r="J15" s="10">
        <f>SQRT(J8/J18)</f>
        <v>1.1002814389078199</v>
      </c>
      <c r="L15" s="42">
        <v>0</v>
      </c>
      <c r="M15" s="42" t="e">
        <v>#NAME?</v>
      </c>
      <c r="V15">
        <f t="shared" si="1355"/>
        <v>12</v>
      </c>
      <c r="W15">
        <f t="shared" si="1356"/>
        <v>0.64770755644069999</v>
      </c>
      <c r="X15">
        <f t="shared" si="1357"/>
        <v>0.59557194457929596</v>
      </c>
      <c r="Y15">
        <f t="shared" si="1358"/>
        <v>5.2135611861404009e-02</v>
      </c>
      <c r="Z15">
        <f t="shared" si="1346"/>
        <v>1.1002814389078199</v>
      </c>
      <c r="AA15">
        <f t="shared" si="1359"/>
        <v>-2.1043762749575001</v>
      </c>
      <c r="AB15">
        <f t="shared" si="1360"/>
        <v>2.2086474986803002</v>
      </c>
      <c r="AD15">
        <f t="shared" si="1364"/>
        <v>12</v>
      </c>
      <c r="AE15">
        <f t="shared" si="1361"/>
        <v>10.1736022444521</v>
      </c>
    </row>
    <row r="16">
      <c r="A16">
        <f t="shared" si="1362"/>
        <v>13</v>
      </c>
      <c r="B16">
        <v>10.821309800892813</v>
      </c>
      <c r="D16">
        <f t="shared" si="1363"/>
        <v>13</v>
      </c>
      <c r="E16">
        <f t="shared" si="1354"/>
        <v>-0.73724655131880101</v>
      </c>
      <c r="F16">
        <f t="shared" si="1365"/>
        <v>-0.36894595402522501</v>
      </c>
      <c r="I16" t="s">
        <v>504</v>
      </c>
      <c r="J16" s="10">
        <f>AVERAGE(E6:E107)</f>
        <v>6.9098004481385006e-02</v>
      </c>
      <c r="L16">
        <f t="shared" ref="L16:L19" si="1366">L15+1</f>
        <v>1</v>
      </c>
      <c r="M16" t="e">
        <v>#NAME?</v>
      </c>
      <c r="V16">
        <f t="shared" si="1355"/>
        <v>13</v>
      </c>
      <c r="W16">
        <f t="shared" si="1356"/>
        <v>-0.73724655131880101</v>
      </c>
      <c r="X16">
        <f t="shared" si="1357"/>
        <v>-0.36894595402522501</v>
      </c>
      <c r="Y16">
        <f t="shared" si="1358"/>
        <v>-0.368300597293576</v>
      </c>
      <c r="Z16">
        <f t="shared" si="1346"/>
        <v>1.1002814389078199</v>
      </c>
      <c r="AA16">
        <f t="shared" si="1359"/>
        <v>-2.5248124841124802</v>
      </c>
      <c r="AB16">
        <f t="shared" si="1360"/>
        <v>1.7882112895253199</v>
      </c>
      <c r="AD16">
        <f t="shared" si="1364"/>
        <v>13</v>
      </c>
      <c r="AE16">
        <f t="shared" si="1361"/>
        <v>10.8213098008928</v>
      </c>
    </row>
    <row r="17">
      <c r="A17">
        <f t="shared" si="1362"/>
        <v>14</v>
      </c>
      <c r="B17">
        <v>10.084063249573955</v>
      </c>
      <c r="D17">
        <f t="shared" si="1363"/>
        <v>14</v>
      </c>
      <c r="E17">
        <f t="shared" si="1354"/>
        <v>0.26199080598150098</v>
      </c>
      <c r="F17">
        <f t="shared" si="1365"/>
        <v>-0.23212449807125099</v>
      </c>
      <c r="I17" t="s">
        <v>505</v>
      </c>
      <c r="J17" s="10">
        <f>STDEV(E6:E107)</f>
        <v>1.28275778824005</v>
      </c>
      <c r="L17">
        <f t="shared" si="1366"/>
        <v>2</v>
      </c>
      <c r="M17" t="e">
        <v>#NAME?</v>
      </c>
      <c r="V17">
        <f t="shared" si="1355"/>
        <v>14</v>
      </c>
      <c r="W17">
        <f t="shared" si="1356"/>
        <v>0.26199080598150098</v>
      </c>
      <c r="X17">
        <f t="shared" si="1357"/>
        <v>-0.23212449807125099</v>
      </c>
      <c r="Y17">
        <f t="shared" si="1358"/>
        <v>0.494115304052752</v>
      </c>
      <c r="Z17">
        <f t="shared" si="1346"/>
        <v>1.1002814389078199</v>
      </c>
      <c r="AA17">
        <f t="shared" si="1359"/>
        <v>-1.66239658276615</v>
      </c>
      <c r="AB17">
        <f t="shared" si="1360"/>
        <v>2.6506271908716501</v>
      </c>
      <c r="AD17">
        <f t="shared" si="1364"/>
        <v>14</v>
      </c>
      <c r="AE17">
        <f t="shared" si="1361"/>
        <v>10.084063249573999</v>
      </c>
    </row>
    <row r="18">
      <c r="A18">
        <f t="shared" si="1362"/>
        <v>15</v>
      </c>
      <c r="B18">
        <v>10.346054055555475</v>
      </c>
      <c r="D18">
        <f t="shared" si="1363"/>
        <v>15</v>
      </c>
      <c r="E18">
        <f t="shared" si="1354"/>
        <v>-0.65385111625290004</v>
      </c>
      <c r="F18">
        <f t="shared" si="1365"/>
        <v>-0.57847182569206901</v>
      </c>
      <c r="I18" t="s">
        <v>506</v>
      </c>
      <c r="J18" s="13">
        <f>COUNT(E6:E107)</f>
        <v>102</v>
      </c>
      <c r="L18">
        <f t="shared" si="1366"/>
        <v>3</v>
      </c>
      <c r="M18" t="e">
        <v>#NAME?</v>
      </c>
      <c r="V18">
        <f t="shared" si="1355"/>
        <v>15</v>
      </c>
      <c r="W18">
        <f t="shared" si="1356"/>
        <v>-0.65385111625290004</v>
      </c>
      <c r="X18">
        <f t="shared" si="1357"/>
        <v>-0.57847182569206901</v>
      </c>
      <c r="Y18">
        <f t="shared" si="1358"/>
        <v>-7.5379290560830994e-02</v>
      </c>
      <c r="Z18">
        <f t="shared" si="1346"/>
        <v>1.1002814389078199</v>
      </c>
      <c r="AA18">
        <f t="shared" si="1359"/>
        <v>-2.2318911773797301</v>
      </c>
      <c r="AB18">
        <f t="shared" si="1360"/>
        <v>2.0811325962580698</v>
      </c>
      <c r="AD18">
        <f t="shared" si="1364"/>
        <v>15</v>
      </c>
      <c r="AE18">
        <f t="shared" si="1361"/>
        <v>10.3460540555555</v>
      </c>
    </row>
    <row r="19">
      <c r="A19">
        <f t="shared" si="1362"/>
        <v>16</v>
      </c>
      <c r="B19">
        <v>9.6922029393025948</v>
      </c>
      <c r="D19">
        <f t="shared" si="1363"/>
        <v>16</v>
      </c>
      <c r="E19">
        <f t="shared" si="1354"/>
        <v>1.5133718313233</v>
      </c>
      <c r="F19">
        <f t="shared" si="1365"/>
        <v>0.98348017383844399</v>
      </c>
      <c r="L19" s="14">
        <f t="shared" si="1366"/>
        <v>4</v>
      </c>
      <c r="M19" s="14" t="e">
        <v>#NAME?</v>
      </c>
      <c r="V19">
        <f t="shared" si="1355"/>
        <v>16</v>
      </c>
      <c r="W19">
        <f t="shared" si="1356"/>
        <v>1.5133718313233</v>
      </c>
      <c r="X19">
        <f t="shared" si="1357"/>
        <v>0.98348017383844399</v>
      </c>
      <c r="Y19">
        <f t="shared" si="1358"/>
        <v>0.529891657484856</v>
      </c>
      <c r="Z19">
        <f t="shared" si="1346"/>
        <v>1.1002814389078199</v>
      </c>
      <c r="AA19">
        <f t="shared" si="1359"/>
        <v>-1.6266202293340399</v>
      </c>
      <c r="AB19">
        <f t="shared" si="1360"/>
        <v>2.6864035443037602</v>
      </c>
      <c r="AD19">
        <f t="shared" si="1364"/>
        <v>16</v>
      </c>
      <c r="AE19">
        <f t="shared" si="1361"/>
        <v>9.6922029393026001</v>
      </c>
    </row>
    <row r="20">
      <c r="A20">
        <f t="shared" si="1362"/>
        <v>17</v>
      </c>
      <c r="B20">
        <v>11.205574770625869</v>
      </c>
      <c r="D20">
        <f t="shared" si="1363"/>
        <v>17</v>
      </c>
      <c r="E20">
        <f t="shared" si="1354"/>
        <v>1.4465416458889</v>
      </c>
      <c r="F20">
        <f t="shared" si="1365"/>
        <v>2.31316027694441</v>
      </c>
      <c r="I20" t="s">
        <v>507</v>
      </c>
      <c r="J20" s="7">
        <f>-(J23-2*(J10+J11+1))/2</f>
        <v>-154.47946245133599</v>
      </c>
      <c r="V20">
        <f t="shared" si="1355"/>
        <v>17</v>
      </c>
      <c r="W20">
        <f t="shared" si="1356"/>
        <v>1.4465416458889</v>
      </c>
      <c r="X20">
        <f t="shared" si="1357"/>
        <v>2.31316027694441</v>
      </c>
      <c r="Y20">
        <f t="shared" si="1358"/>
        <v>-0.86661863105550996</v>
      </c>
      <c r="Z20">
        <f t="shared" si="1346"/>
        <v>1.1002814389078199</v>
      </c>
      <c r="AA20">
        <f t="shared" si="1359"/>
        <v>-3.0231305178744101</v>
      </c>
      <c r="AB20">
        <f t="shared" si="1360"/>
        <v>1.28989325576339</v>
      </c>
      <c r="AD20">
        <f t="shared" si="1364"/>
        <v>17</v>
      </c>
      <c r="AE20">
        <f t="shared" si="1361"/>
        <v>11.205574770625899</v>
      </c>
    </row>
    <row r="21">
      <c r="A21">
        <f t="shared" si="1362"/>
        <v>18</v>
      </c>
      <c r="B21">
        <v>12.652116416514845</v>
      </c>
      <c r="D21">
        <f t="shared" si="1363"/>
        <v>18</v>
      </c>
      <c r="E21">
        <f t="shared" si="1354"/>
        <v>0.75421275212060002</v>
      </c>
      <c r="F21">
        <f t="shared" si="1365"/>
        <v>1.83216205409685</v>
      </c>
      <c r="I21" t="s">
        <v>374</v>
      </c>
      <c r="J21" s="10">
        <f>J18*LN(J8/J18)+2*(J10+J11+1)</f>
        <v>27.495464128917501</v>
      </c>
      <c r="V21">
        <f t="shared" si="1355"/>
        <v>18</v>
      </c>
      <c r="W21">
        <f t="shared" si="1356"/>
        <v>0.75421275212060002</v>
      </c>
      <c r="X21">
        <f t="shared" si="1357"/>
        <v>1.83216205409685</v>
      </c>
      <c r="Y21">
        <f t="shared" si="1358"/>
        <v>-1.0779493019762501</v>
      </c>
      <c r="Z21">
        <f t="shared" si="1346"/>
        <v>1.1002814389078199</v>
      </c>
      <c r="AA21">
        <f t="shared" si="1359"/>
        <v>-3.2344611887951502</v>
      </c>
      <c r="AB21">
        <f t="shared" si="1360"/>
        <v>1.0785625848426501</v>
      </c>
      <c r="AD21">
        <f t="shared" si="1364"/>
        <v>18</v>
      </c>
      <c r="AE21">
        <f t="shared" si="1361"/>
        <v>12.652116416514801</v>
      </c>
    </row>
    <row r="22">
      <c r="A22">
        <f t="shared" si="1362"/>
        <v>19</v>
      </c>
      <c r="B22">
        <v>13.406329168635398</v>
      </c>
      <c r="D22">
        <f t="shared" si="1363"/>
        <v>19</v>
      </c>
      <c r="E22">
        <f t="shared" si="1354"/>
        <v>-1.1751112384514</v>
      </c>
      <c r="F22">
        <f t="shared" si="1365"/>
        <v>-0.31400357283684999</v>
      </c>
      <c r="I22" t="s">
        <v>508</v>
      </c>
      <c r="J22" s="10">
        <f>J18*LN(J8/J18)+LN(J18)*(J10+J11+1)</f>
        <v>37.995355382054598</v>
      </c>
      <c r="V22">
        <f t="shared" si="1355"/>
        <v>19</v>
      </c>
      <c r="W22">
        <f t="shared" si="1356"/>
        <v>-1.1751112384514</v>
      </c>
      <c r="X22">
        <f t="shared" si="1357"/>
        <v>-0.31400357283684999</v>
      </c>
      <c r="Y22">
        <f t="shared" si="1358"/>
        <v>-0.86110766561454999</v>
      </c>
      <c r="Z22">
        <f t="shared" si="1346"/>
        <v>1.1002814389078199</v>
      </c>
      <c r="AA22">
        <f t="shared" si="1359"/>
        <v>-3.0176195524334499</v>
      </c>
      <c r="AB22">
        <f t="shared" si="1360"/>
        <v>1.2954042212043499</v>
      </c>
      <c r="AD22">
        <f t="shared" si="1364"/>
        <v>19</v>
      </c>
      <c r="AE22">
        <f t="shared" si="1361"/>
        <v>13.4063291686354</v>
      </c>
    </row>
    <row r="23">
      <c r="A23">
        <f t="shared" si="1362"/>
        <v>20</v>
      </c>
      <c r="B23">
        <v>12.231217930183975</v>
      </c>
      <c r="D23">
        <f t="shared" si="1363"/>
        <v>20</v>
      </c>
      <c r="E23">
        <f t="shared" si="1354"/>
        <v>-0.1142434742248</v>
      </c>
      <c r="F23">
        <f t="shared" si="1365"/>
        <v>-0.44070065953908094</v>
      </c>
      <c r="I23" t="s">
        <v>509</v>
      </c>
      <c r="J23" s="10">
        <f>J18*(1+LN(2*PI()))+J21</f>
        <v>316.95892490267101</v>
      </c>
      <c r="V23">
        <f t="shared" si="1355"/>
        <v>20</v>
      </c>
      <c r="W23">
        <f t="shared" si="1356"/>
        <v>-0.1142434742248</v>
      </c>
      <c r="X23">
        <f t="shared" si="1357"/>
        <v>-0.44070065953908094</v>
      </c>
      <c r="Y23">
        <f t="shared" si="1358"/>
        <v>0.32645718531428097</v>
      </c>
      <c r="Z23">
        <f t="shared" si="1346"/>
        <v>1.1002814389078199</v>
      </c>
      <c r="AA23">
        <f t="shared" si="1359"/>
        <v>-1.83005470150462</v>
      </c>
      <c r="AB23">
        <f t="shared" si="1360"/>
        <v>2.4829690721331801</v>
      </c>
      <c r="AD23">
        <f t="shared" si="1364"/>
        <v>20</v>
      </c>
      <c r="AE23">
        <f t="shared" si="1361"/>
        <v>12.231217930184</v>
      </c>
    </row>
    <row r="24">
      <c r="A24">
        <f t="shared" si="1362"/>
        <v>21</v>
      </c>
      <c r="B24">
        <v>12.116974455959236</v>
      </c>
      <c r="D24">
        <f t="shared" si="1363"/>
        <v>21</v>
      </c>
      <c r="E24">
        <f t="shared" si="1354"/>
        <v>-1.6570855615983</v>
      </c>
      <c r="F24">
        <f t="shared" si="1365"/>
        <v>-1.4076885580668099</v>
      </c>
      <c r="I24" t="s">
        <v>510</v>
      </c>
      <c r="J24" s="13">
        <f>J18*(1+LN(2*PI()))+J22</f>
        <v>327.45881615580799</v>
      </c>
      <c r="V24">
        <f t="shared" si="1355"/>
        <v>21</v>
      </c>
      <c r="W24">
        <f t="shared" si="1356"/>
        <v>-1.6570855615983</v>
      </c>
      <c r="X24">
        <f t="shared" si="1357"/>
        <v>-1.4076885580668099</v>
      </c>
      <c r="Y24">
        <f t="shared" si="1358"/>
        <v>-0.24939700353149</v>
      </c>
      <c r="Z24">
        <f t="shared" si="1346"/>
        <v>1.1002814389078199</v>
      </c>
      <c r="AA24">
        <f t="shared" si="1359"/>
        <v>-2.40590889035039</v>
      </c>
      <c r="AB24">
        <f t="shared" si="1360"/>
        <v>1.9071148832874101</v>
      </c>
      <c r="AD24">
        <f t="shared" si="1364"/>
        <v>21</v>
      </c>
      <c r="AE24">
        <f t="shared" si="1361"/>
        <v>12.1169744559592</v>
      </c>
    </row>
    <row r="25">
      <c r="A25">
        <f t="shared" si="1362"/>
        <v>22</v>
      </c>
      <c r="B25">
        <v>10.45988889436091</v>
      </c>
      <c r="D25">
        <f t="shared" si="1363"/>
        <v>22</v>
      </c>
      <c r="E25">
        <f t="shared" si="1354"/>
        <v>-1.0134312232796701</v>
      </c>
      <c r="F25">
        <f t="shared" si="1365"/>
        <v>-1.8386986246308601</v>
      </c>
      <c r="V25">
        <f t="shared" si="1355"/>
        <v>22</v>
      </c>
      <c r="W25">
        <f t="shared" si="1356"/>
        <v>-1.0134312232796701</v>
      </c>
      <c r="X25">
        <f t="shared" si="1357"/>
        <v>-1.8386986246308601</v>
      </c>
      <c r="Y25">
        <f t="shared" si="1358"/>
        <v>0.82526740135119003</v>
      </c>
      <c r="Z25">
        <f t="shared" si="1346"/>
        <v>1.1002814389078199</v>
      </c>
      <c r="AA25">
        <f t="shared" si="1359"/>
        <v>-1.3312444854677099</v>
      </c>
      <c r="AB25">
        <f t="shared" si="1360"/>
        <v>2.98177928817009</v>
      </c>
      <c r="AD25">
        <f t="shared" si="1364"/>
        <v>22</v>
      </c>
      <c r="AE25">
        <f t="shared" si="1361"/>
        <v>10.459888894360899</v>
      </c>
    </row>
    <row r="26">
      <c r="A26">
        <f t="shared" si="1362"/>
        <v>23</v>
      </c>
      <c r="B26">
        <v>9.4464576710812267</v>
      </c>
      <c r="D26">
        <f t="shared" si="1363"/>
        <v>23</v>
      </c>
      <c r="E26">
        <f t="shared" si="1354"/>
        <v>1.7345727637130699</v>
      </c>
      <c r="F26">
        <f t="shared" si="1365"/>
        <v>1.08974951435359</v>
      </c>
      <c r="I26" t="s">
        <v>496</v>
      </c>
      <c r="J26" s="16" t="s">
        <v>363</v>
      </c>
      <c r="V26">
        <f t="shared" si="1355"/>
        <v>23</v>
      </c>
      <c r="W26">
        <f t="shared" si="1356"/>
        <v>1.7345727637130699</v>
      </c>
      <c r="X26">
        <f t="shared" si="1357"/>
        <v>1.08974951435359</v>
      </c>
      <c r="Y26">
        <f t="shared" si="1358"/>
        <v>0.64482324935947999</v>
      </c>
      <c r="Z26">
        <f t="shared" si="1346"/>
        <v>1.1002814389078199</v>
      </c>
      <c r="AA26">
        <f t="shared" si="1359"/>
        <v>-1.5116886374594201</v>
      </c>
      <c r="AB26">
        <f t="shared" si="1360"/>
        <v>2.80133513617838</v>
      </c>
      <c r="AD26">
        <f t="shared" si="1364"/>
        <v>23</v>
      </c>
      <c r="AE26">
        <f t="shared" si="1361"/>
        <v>9.4464576710812302</v>
      </c>
    </row>
    <row r="27">
      <c r="A27">
        <f t="shared" si="1362"/>
        <v>24</v>
      </c>
      <c r="B27">
        <v>11.181030434794319</v>
      </c>
      <c r="D27">
        <f t="shared" si="1363"/>
        <v>24</v>
      </c>
      <c r="E27">
        <f t="shared" si="1354"/>
        <v>-3.5956702184486198</v>
      </c>
      <c r="F27">
        <f t="shared" si="1365"/>
        <v>-2.48921987935144</v>
      </c>
      <c r="V27">
        <f t="shared" si="1355"/>
        <v>24</v>
      </c>
      <c r="W27">
        <f t="shared" si="1356"/>
        <v>-3.5956702184486198</v>
      </c>
      <c r="X27">
        <f t="shared" si="1357"/>
        <v>-2.48921987935144</v>
      </c>
      <c r="Y27">
        <f t="shared" si="1358"/>
        <v>-1.10645033909718</v>
      </c>
      <c r="Z27">
        <f t="shared" si="1346"/>
        <v>1.1002814389078199</v>
      </c>
      <c r="AA27">
        <f t="shared" si="1359"/>
        <v>-3.26296222591608</v>
      </c>
      <c r="AB27">
        <f t="shared" si="1360"/>
        <v>1.0500615477217199</v>
      </c>
      <c r="AD27">
        <f t="shared" si="1364"/>
        <v>24</v>
      </c>
      <c r="AE27">
        <f t="shared" si="1361"/>
        <v>11.1810304347943</v>
      </c>
    </row>
    <row r="28">
      <c r="A28">
        <f t="shared" si="1362"/>
        <v>25</v>
      </c>
      <c r="B28">
        <v>7.5853602163456753</v>
      </c>
      <c r="D28">
        <f t="shared" si="1363"/>
        <v>25</v>
      </c>
      <c r="E28">
        <f t="shared" si="1354"/>
        <v>3.3931716450660199</v>
      </c>
      <c r="F28">
        <f t="shared" si="1365"/>
        <v>1.0621885734162699</v>
      </c>
      <c r="V28">
        <f t="shared" si="1355"/>
        <v>25</v>
      </c>
      <c r="W28">
        <f t="shared" si="1356"/>
        <v>3.3931716450660199</v>
      </c>
      <c r="X28">
        <f t="shared" si="1357"/>
        <v>1.0621885734162699</v>
      </c>
      <c r="Y28">
        <f t="shared" si="1358"/>
        <v>2.3309830716497499</v>
      </c>
      <c r="Z28">
        <f t="shared" si="1346"/>
        <v>1.1002814389078199</v>
      </c>
      <c r="AA28">
        <f t="shared" si="1359"/>
        <v>0.17447118483085</v>
      </c>
      <c r="AB28">
        <f t="shared" si="1360"/>
        <v>4.4874949584686501</v>
      </c>
      <c r="AD28">
        <f t="shared" si="1364"/>
        <v>25</v>
      </c>
      <c r="AE28">
        <f t="shared" si="1361"/>
        <v>7.5853602163456797</v>
      </c>
    </row>
    <row r="29">
      <c r="A29">
        <f t="shared" si="1362"/>
        <v>26</v>
      </c>
      <c r="B29">
        <v>10.978531861411668</v>
      </c>
      <c r="D29">
        <f t="shared" si="1363"/>
        <v>26</v>
      </c>
      <c r="E29">
        <f t="shared" si="1354"/>
        <v>-0.428306652786001</v>
      </c>
      <c r="F29">
        <f t="shared" si="1365"/>
        <v>1.51109782208806</v>
      </c>
      <c r="V29">
        <f t="shared" si="1355"/>
        <v>26</v>
      </c>
      <c r="W29">
        <f t="shared" si="1356"/>
        <v>-0.428306652786001</v>
      </c>
      <c r="X29">
        <f t="shared" si="1357"/>
        <v>1.51109782208806</v>
      </c>
      <c r="Y29">
        <f t="shared" si="1358"/>
        <v>-1.93940447487406</v>
      </c>
      <c r="Z29">
        <f t="shared" si="1346"/>
        <v>1.1002814389078199</v>
      </c>
      <c r="AA29">
        <f t="shared" si="1359"/>
        <v>-4.0959163616929599</v>
      </c>
      <c r="AB29">
        <f t="shared" si="1360"/>
        <v>0.21710741194484001</v>
      </c>
      <c r="AD29">
        <f t="shared" si="1364"/>
        <v>26</v>
      </c>
      <c r="AE29">
        <f t="shared" si="1361"/>
        <v>10.9785318614117</v>
      </c>
    </row>
    <row r="30">
      <c r="A30">
        <f t="shared" si="1362"/>
        <v>27</v>
      </c>
      <c r="B30">
        <v>10.550225208625736</v>
      </c>
      <c r="D30">
        <f t="shared" si="1363"/>
        <v>27</v>
      </c>
      <c r="E30">
        <f t="shared" si="1354"/>
        <v>0.67723622241930104</v>
      </c>
      <c r="F30">
        <f t="shared" si="1365"/>
        <v>0.51138048484525001</v>
      </c>
      <c r="V30">
        <f t="shared" si="1355"/>
        <v>27</v>
      </c>
      <c r="W30">
        <f t="shared" si="1356"/>
        <v>0.67723622241930104</v>
      </c>
      <c r="X30">
        <f t="shared" si="1357"/>
        <v>0.51138048484525001</v>
      </c>
      <c r="Y30">
        <f t="shared" si="1358"/>
        <v>0.165855737574051</v>
      </c>
      <c r="Z30">
        <f t="shared" si="1346"/>
        <v>1.1002814389078199</v>
      </c>
      <c r="AA30">
        <f t="shared" si="1359"/>
        <v>-1.99065614924485</v>
      </c>
      <c r="AB30">
        <f t="shared" si="1360"/>
        <v>2.3223676243929501</v>
      </c>
      <c r="AD30">
        <f t="shared" si="1364"/>
        <v>27</v>
      </c>
      <c r="AE30">
        <f t="shared" si="1361"/>
        <v>10.550225208625699</v>
      </c>
    </row>
    <row r="31">
      <c r="A31">
        <f t="shared" si="1362"/>
        <v>28</v>
      </c>
      <c r="B31">
        <v>11.227461431044995</v>
      </c>
      <c r="D31">
        <f t="shared" si="1363"/>
        <v>28</v>
      </c>
      <c r="E31">
        <f t="shared" si="1354"/>
        <v>-2.15129010551331</v>
      </c>
      <c r="F31">
        <f t="shared" si="1365"/>
        <v>-1.60659198742378</v>
      </c>
      <c r="V31">
        <f t="shared" si="1355"/>
        <v>28</v>
      </c>
      <c r="W31">
        <f t="shared" si="1356"/>
        <v>-2.15129010551331</v>
      </c>
      <c r="X31">
        <f t="shared" si="1357"/>
        <v>-1.60659198742378</v>
      </c>
      <c r="Y31">
        <f t="shared" si="1358"/>
        <v>-0.54469811808952995</v>
      </c>
      <c r="Z31">
        <f t="shared" si="1346"/>
        <v>1.1002814389078199</v>
      </c>
      <c r="AA31">
        <f t="shared" si="1359"/>
        <v>-2.7012100049084302</v>
      </c>
      <c r="AB31">
        <f t="shared" si="1360"/>
        <v>1.6118137687293701</v>
      </c>
      <c r="AD31">
        <f t="shared" si="1364"/>
        <v>28</v>
      </c>
      <c r="AE31">
        <f t="shared" si="1361"/>
        <v>11.227461431045</v>
      </c>
    </row>
    <row r="32">
      <c r="A32">
        <f t="shared" si="1362"/>
        <v>29</v>
      </c>
      <c r="B32">
        <v>9.0761713255316874</v>
      </c>
      <c r="D32">
        <f t="shared" si="1363"/>
        <v>29</v>
      </c>
      <c r="E32">
        <f t="shared" si="1354"/>
        <v>0.83332432537684986</v>
      </c>
      <c r="F32">
        <f t="shared" si="1365"/>
        <v>-0.47883294670062992</v>
      </c>
      <c r="V32">
        <f t="shared" si="1355"/>
        <v>29</v>
      </c>
      <c r="W32">
        <f t="shared" si="1356"/>
        <v>0.83332432537684986</v>
      </c>
      <c r="X32">
        <f t="shared" si="1357"/>
        <v>-0.47883294670062992</v>
      </c>
      <c r="Y32">
        <f t="shared" si="1358"/>
        <v>1.3121572720774799</v>
      </c>
      <c r="Z32">
        <f t="shared" si="1346"/>
        <v>1.1002814389078199</v>
      </c>
      <c r="AA32">
        <f t="shared" si="1359"/>
        <v>-0.84435461474141993</v>
      </c>
      <c r="AB32">
        <f t="shared" si="1360"/>
        <v>3.4686691588963798</v>
      </c>
      <c r="AD32">
        <f t="shared" si="1364"/>
        <v>29</v>
      </c>
      <c r="AE32">
        <f t="shared" si="1361"/>
        <v>9.0761713255316891</v>
      </c>
    </row>
    <row r="33">
      <c r="A33">
        <f t="shared" si="1362"/>
        <v>30</v>
      </c>
      <c r="B33">
        <v>9.9094956509085357</v>
      </c>
      <c r="D33">
        <f t="shared" si="1363"/>
        <v>30</v>
      </c>
      <c r="E33">
        <f t="shared" si="1354"/>
        <v>1.7741399200725601</v>
      </c>
      <c r="F33">
        <f t="shared" si="1365"/>
        <v>2.1838314057394501</v>
      </c>
      <c r="V33">
        <f t="shared" si="1355"/>
        <v>30</v>
      </c>
      <c r="W33">
        <f t="shared" si="1356"/>
        <v>1.7741399200725601</v>
      </c>
      <c r="X33">
        <f t="shared" si="1357"/>
        <v>2.1838314057394501</v>
      </c>
      <c r="Y33">
        <f t="shared" si="1358"/>
        <v>-0.40969148566689001</v>
      </c>
      <c r="Z33">
        <f t="shared" si="1346"/>
        <v>1.1002814389078199</v>
      </c>
      <c r="AA33">
        <f t="shared" si="1359"/>
        <v>-2.56620337248579</v>
      </c>
      <c r="AB33">
        <f t="shared" si="1360"/>
        <v>1.7468204011520101</v>
      </c>
      <c r="AD33">
        <f t="shared" si="1364"/>
        <v>30</v>
      </c>
      <c r="AE33">
        <f t="shared" si="1361"/>
        <v>9.9094956509085392</v>
      </c>
    </row>
    <row r="34">
      <c r="A34">
        <f t="shared" si="1362"/>
        <v>31</v>
      </c>
      <c r="B34">
        <v>11.683635570981137</v>
      </c>
      <c r="D34">
        <f t="shared" si="1363"/>
        <v>31</v>
      </c>
      <c r="E34">
        <f t="shared" si="1354"/>
        <v>-2.29451746193544</v>
      </c>
      <c r="F34">
        <f t="shared" si="1365"/>
        <v>-1.0879330868594901</v>
      </c>
      <c r="V34">
        <f t="shared" si="1355"/>
        <v>31</v>
      </c>
      <c r="W34">
        <f t="shared" si="1356"/>
        <v>-2.29451746193544</v>
      </c>
      <c r="X34">
        <f t="shared" si="1357"/>
        <v>-1.0879330868594901</v>
      </c>
      <c r="Y34">
        <f t="shared" si="1358"/>
        <v>-1.20658437507595</v>
      </c>
      <c r="Z34">
        <f t="shared" si="1346"/>
        <v>1.1002814389078199</v>
      </c>
      <c r="AA34">
        <f t="shared" si="1359"/>
        <v>-3.3630962618948499</v>
      </c>
      <c r="AB34">
        <f t="shared" si="1360"/>
        <v>0.94992751174294998</v>
      </c>
      <c r="AD34">
        <f t="shared" si="1364"/>
        <v>31</v>
      </c>
      <c r="AE34">
        <f t="shared" si="1361"/>
        <v>11.6836355709811</v>
      </c>
    </row>
    <row r="35">
      <c r="A35">
        <f t="shared" si="1362"/>
        <v>32</v>
      </c>
      <c r="B35">
        <v>9.3891181090456559</v>
      </c>
      <c r="D35">
        <f t="shared" si="1363"/>
        <v>32</v>
      </c>
      <c r="E35">
        <f t="shared" si="1354"/>
        <v>1.89184924391794</v>
      </c>
      <c r="F35">
        <f t="shared" si="1365"/>
        <v>0.56082161626613003</v>
      </c>
      <c r="V35">
        <f t="shared" si="1355"/>
        <v>32</v>
      </c>
      <c r="W35">
        <f t="shared" si="1356"/>
        <v>1.89184924391794</v>
      </c>
      <c r="X35">
        <f t="shared" si="1357"/>
        <v>0.56082161626613003</v>
      </c>
      <c r="Y35">
        <f t="shared" si="1358"/>
        <v>1.33102762765181</v>
      </c>
      <c r="Z35">
        <f t="shared" si="1346"/>
        <v>1.1002814389078199</v>
      </c>
      <c r="AA35">
        <f t="shared" si="1359"/>
        <v>-0.82548425916709012</v>
      </c>
      <c r="AB35">
        <f t="shared" si="1360"/>
        <v>3.48753951447071</v>
      </c>
      <c r="AD35">
        <f t="shared" si="1364"/>
        <v>32</v>
      </c>
      <c r="AE35">
        <f t="shared" si="1361"/>
        <v>9.3891181090456595</v>
      </c>
    </row>
    <row r="36">
      <c r="A36">
        <f t="shared" si="1362"/>
        <v>33</v>
      </c>
      <c r="B36">
        <v>11.280967352963559</v>
      </c>
      <c r="D36">
        <f t="shared" si="1363"/>
        <v>33</v>
      </c>
      <c r="E36">
        <f t="shared" si="1354"/>
        <v>-2.2032672986262298</v>
      </c>
      <c r="F36">
        <f t="shared" si="1365"/>
        <v>-0.9871382387393639</v>
      </c>
      <c r="V36">
        <f t="shared" si="1355"/>
        <v>33</v>
      </c>
      <c r="W36">
        <f t="shared" si="1356"/>
        <v>-2.2032672986262298</v>
      </c>
      <c r="X36">
        <f t="shared" si="1357"/>
        <v>-0.9871382387393639</v>
      </c>
      <c r="Y36">
        <f t="shared" si="1358"/>
        <v>-1.2161290598868699</v>
      </c>
      <c r="Z36">
        <f t="shared" si="1346"/>
        <v>1.1002814389078199</v>
      </c>
      <c r="AA36">
        <f t="shared" si="1359"/>
        <v>-3.3726409467057699</v>
      </c>
      <c r="AB36">
        <f t="shared" si="1360"/>
        <v>0.94038282693203001</v>
      </c>
      <c r="AD36">
        <f t="shared" si="1364"/>
        <v>33</v>
      </c>
      <c r="AE36">
        <f t="shared" si="1361"/>
        <v>11.2809673529636</v>
      </c>
    </row>
    <row r="37">
      <c r="A37">
        <f t="shared" si="1362"/>
        <v>34</v>
      </c>
      <c r="B37">
        <v>9.0777000543373685</v>
      </c>
      <c r="D37">
        <f t="shared" si="1363"/>
        <v>34</v>
      </c>
      <c r="E37">
        <f t="shared" si="1354"/>
        <v>0.34415202537282003</v>
      </c>
      <c r="F37">
        <f t="shared" si="1365"/>
        <v>-0.981053611702702</v>
      </c>
      <c r="V37">
        <f t="shared" si="1355"/>
        <v>34</v>
      </c>
      <c r="W37">
        <f t="shared" si="1356"/>
        <v>0.34415202537282003</v>
      </c>
      <c r="X37">
        <f t="shared" si="1357"/>
        <v>-0.981053611702702</v>
      </c>
      <c r="Y37">
        <f t="shared" si="1358"/>
        <v>1.3252056370755201</v>
      </c>
      <c r="Z37">
        <f t="shared" si="1346"/>
        <v>1.1002814389078199</v>
      </c>
      <c r="AA37">
        <f t="shared" si="1359"/>
        <v>-0.83130624974337997</v>
      </c>
      <c r="AB37">
        <f t="shared" si="1360"/>
        <v>3.48171752389442</v>
      </c>
      <c r="AD37">
        <f t="shared" si="1364"/>
        <v>34</v>
      </c>
      <c r="AE37">
        <f t="shared" si="1361"/>
        <v>9.0777000543373703</v>
      </c>
    </row>
    <row r="38">
      <c r="A38">
        <f t="shared" si="1362"/>
        <v>35</v>
      </c>
      <c r="B38">
        <v>9.4218520797101899</v>
      </c>
      <c r="D38">
        <f t="shared" si="1363"/>
        <v>35</v>
      </c>
      <c r="E38">
        <f t="shared" si="1354"/>
        <v>1.3468186870160099</v>
      </c>
      <c r="F38">
        <f t="shared" si="1365"/>
        <v>1.4290393948071001</v>
      </c>
      <c r="V38">
        <f t="shared" si="1355"/>
        <v>35</v>
      </c>
      <c r="W38">
        <f t="shared" si="1356"/>
        <v>1.3468186870160099</v>
      </c>
      <c r="X38">
        <f t="shared" si="1357"/>
        <v>1.4290393948071001</v>
      </c>
      <c r="Y38">
        <f t="shared" si="1358"/>
        <v>-8.2220707791090003e-02</v>
      </c>
      <c r="Z38">
        <f t="shared" si="1346"/>
        <v>1.1002814389078199</v>
      </c>
      <c r="AA38">
        <f t="shared" si="1359"/>
        <v>-2.2387325946099899</v>
      </c>
      <c r="AB38">
        <f t="shared" si="1360"/>
        <v>2.07429117902781</v>
      </c>
      <c r="AD38">
        <f t="shared" si="1364"/>
        <v>35</v>
      </c>
      <c r="AE38">
        <f t="shared" si="1361"/>
        <v>9.4218520797101899</v>
      </c>
    </row>
    <row r="39">
      <c r="A39">
        <f t="shared" si="1362"/>
        <v>36</v>
      </c>
      <c r="B39">
        <v>10.768670766726222</v>
      </c>
      <c r="D39">
        <f t="shared" si="1363"/>
        <v>36</v>
      </c>
      <c r="E39">
        <f t="shared" si="1354"/>
        <v>-0.72398434050559901</v>
      </c>
      <c r="F39">
        <f t="shared" si="1365"/>
        <v>0.11081133716055</v>
      </c>
      <c r="V39">
        <f t="shared" si="1355"/>
        <v>36</v>
      </c>
      <c r="W39">
        <f t="shared" si="1356"/>
        <v>-0.72398434050559901</v>
      </c>
      <c r="X39">
        <f t="shared" si="1357"/>
        <v>0.11081133716055</v>
      </c>
      <c r="Y39">
        <f t="shared" si="1358"/>
        <v>-0.83479567766614904</v>
      </c>
      <c r="Z39">
        <f t="shared" si="1346"/>
        <v>1.1002814389078199</v>
      </c>
      <c r="AA39">
        <f t="shared" si="1359"/>
        <v>-2.9913075644850502</v>
      </c>
      <c r="AB39">
        <f t="shared" si="1360"/>
        <v>1.3217162091527499</v>
      </c>
      <c r="AD39">
        <f t="shared" si="1364"/>
        <v>36</v>
      </c>
      <c r="AE39">
        <f t="shared" si="1361"/>
        <v>10.768670766726199</v>
      </c>
    </row>
    <row r="40">
      <c r="A40">
        <f t="shared" si="1362"/>
        <v>37</v>
      </c>
      <c r="B40">
        <v>10.044686426220611</v>
      </c>
      <c r="D40">
        <f t="shared" si="1363"/>
        <v>37</v>
      </c>
      <c r="E40">
        <f t="shared" si="1354"/>
        <v>-0.54203888534849998</v>
      </c>
      <c r="F40">
        <f t="shared" si="1365"/>
        <v>-0.92607706834783499</v>
      </c>
      <c r="V40">
        <f t="shared" si="1355"/>
        <v>37</v>
      </c>
      <c r="W40">
        <f t="shared" si="1356"/>
        <v>-0.54203888534849998</v>
      </c>
      <c r="X40">
        <f t="shared" si="1357"/>
        <v>-0.92607706834783499</v>
      </c>
      <c r="Y40">
        <f t="shared" si="1358"/>
        <v>0.38403818299933501</v>
      </c>
      <c r="Z40">
        <f t="shared" si="1346"/>
        <v>1.1002814389078199</v>
      </c>
      <c r="AA40">
        <f t="shared" si="1359"/>
        <v>-1.7724737038195699</v>
      </c>
      <c r="AB40">
        <f t="shared" si="1360"/>
        <v>2.5405500698182402</v>
      </c>
      <c r="AD40">
        <f t="shared" si="1364"/>
        <v>37</v>
      </c>
      <c r="AE40">
        <f t="shared" si="1361"/>
        <v>10.044686426220601</v>
      </c>
    </row>
    <row r="41">
      <c r="A41">
        <f t="shared" si="1362"/>
        <v>38</v>
      </c>
      <c r="B41">
        <v>9.5026475408720934</v>
      </c>
      <c r="D41">
        <f t="shared" si="1363"/>
        <v>38</v>
      </c>
      <c r="E41">
        <f t="shared" si="1354"/>
        <v>2.5139876043378</v>
      </c>
      <c r="F41">
        <f t="shared" si="1365"/>
        <v>2.1369440464920801</v>
      </c>
      <c r="V41">
        <f t="shared" si="1355"/>
        <v>38</v>
      </c>
      <c r="W41">
        <f t="shared" si="1356"/>
        <v>2.5139876043378</v>
      </c>
      <c r="X41">
        <f t="shared" si="1357"/>
        <v>2.1369440464920801</v>
      </c>
      <c r="Y41">
        <f t="shared" si="1358"/>
        <v>0.37704355784572002</v>
      </c>
      <c r="Z41">
        <f t="shared" si="1346"/>
        <v>1.1002814389078199</v>
      </c>
      <c r="AA41">
        <f t="shared" si="1359"/>
        <v>-1.7794683289731801</v>
      </c>
      <c r="AB41">
        <f t="shared" si="1360"/>
        <v>2.53355544466462</v>
      </c>
      <c r="AD41">
        <f t="shared" si="1364"/>
        <v>38</v>
      </c>
      <c r="AE41">
        <f t="shared" si="1361"/>
        <v>9.5026475408721005</v>
      </c>
    </row>
    <row r="42">
      <c r="A42">
        <f t="shared" si="1362"/>
        <v>39</v>
      </c>
      <c r="B42">
        <v>12.016635145209888</v>
      </c>
      <c r="D42">
        <f t="shared" si="1363"/>
        <v>39</v>
      </c>
      <c r="E42">
        <f t="shared" si="1354"/>
        <v>-2.4090527207463399</v>
      </c>
      <c r="F42">
        <f t="shared" si="1365"/>
        <v>-0.73823260176872996</v>
      </c>
      <c r="V42">
        <f t="shared" si="1355"/>
        <v>39</v>
      </c>
      <c r="W42">
        <f t="shared" si="1356"/>
        <v>-2.4090527207463399</v>
      </c>
      <c r="X42">
        <f t="shared" si="1357"/>
        <v>-0.73823260176872996</v>
      </c>
      <c r="Y42">
        <f t="shared" si="1358"/>
        <v>-1.67082011897761</v>
      </c>
      <c r="Z42">
        <f t="shared" si="1346"/>
        <v>1.1002814389078199</v>
      </c>
      <c r="AA42">
        <f t="shared" si="1359"/>
        <v>-3.8273320057965101</v>
      </c>
      <c r="AB42">
        <f t="shared" si="1360"/>
        <v>0.48569176784129003</v>
      </c>
      <c r="AD42">
        <f t="shared" si="1364"/>
        <v>39</v>
      </c>
      <c r="AE42">
        <f t="shared" si="1361"/>
        <v>12.0166351452099</v>
      </c>
    </row>
    <row r="43">
      <c r="A43">
        <f t="shared" si="1362"/>
        <v>40</v>
      </c>
      <c r="B43">
        <v>9.6075824244635548</v>
      </c>
      <c r="D43">
        <f t="shared" si="1363"/>
        <v>40</v>
      </c>
      <c r="E43">
        <f t="shared" si="1354"/>
        <v>0.87121628214643998</v>
      </c>
      <c r="F43">
        <f t="shared" si="1365"/>
        <v>-0.46572230495825606</v>
      </c>
      <c r="V43">
        <f t="shared" si="1355"/>
        <v>40</v>
      </c>
      <c r="W43">
        <f t="shared" si="1356"/>
        <v>0.87121628214643998</v>
      </c>
      <c r="X43">
        <f t="shared" si="1357"/>
        <v>-0.46572230495825606</v>
      </c>
      <c r="Y43">
        <f t="shared" si="1358"/>
        <v>1.3369385871046999</v>
      </c>
      <c r="Z43">
        <f t="shared" si="1346"/>
        <v>1.1002814389078199</v>
      </c>
      <c r="AA43">
        <f t="shared" si="1359"/>
        <v>-0.81957329971420001</v>
      </c>
      <c r="AB43">
        <f t="shared" si="1360"/>
        <v>3.4934504739236001</v>
      </c>
      <c r="AD43">
        <f t="shared" si="1364"/>
        <v>40</v>
      </c>
      <c r="AE43">
        <f t="shared" si="1361"/>
        <v>9.6075824244635601</v>
      </c>
    </row>
    <row r="44">
      <c r="A44">
        <f t="shared" si="1362"/>
        <v>41</v>
      </c>
      <c r="B44">
        <v>10.47879870661002</v>
      </c>
      <c r="D44">
        <f t="shared" si="1363"/>
        <v>41</v>
      </c>
      <c r="E44">
        <f t="shared" si="1354"/>
        <v>-0.3476527104919</v>
      </c>
      <c r="F44">
        <f t="shared" si="1365"/>
        <v>0.212016227401294</v>
      </c>
      <c r="V44">
        <f t="shared" si="1355"/>
        <v>41</v>
      </c>
      <c r="W44">
        <f t="shared" si="1356"/>
        <v>-0.3476527104919</v>
      </c>
      <c r="X44">
        <f t="shared" si="1357"/>
        <v>0.212016227401294</v>
      </c>
      <c r="Y44">
        <f t="shared" si="1358"/>
        <v>-0.55966893789319405</v>
      </c>
      <c r="Z44">
        <f t="shared" si="1346"/>
        <v>1.1002814389078199</v>
      </c>
      <c r="AA44">
        <f t="shared" si="1359"/>
        <v>-2.7161808247120902</v>
      </c>
      <c r="AB44">
        <f t="shared" si="1360"/>
        <v>1.5968429489257101</v>
      </c>
      <c r="AD44">
        <f t="shared" si="1364"/>
        <v>41</v>
      </c>
      <c r="AE44">
        <f t="shared" si="1361"/>
        <v>10.47879870661</v>
      </c>
    </row>
    <row r="45">
      <c r="A45">
        <f t="shared" si="1362"/>
        <v>42</v>
      </c>
      <c r="B45">
        <v>10.131145996118136</v>
      </c>
      <c r="D45">
        <f t="shared" si="1363"/>
        <v>42</v>
      </c>
      <c r="E45">
        <f t="shared" si="1354"/>
        <v>-0.82089300302415003</v>
      </c>
      <c r="F45">
        <f t="shared" si="1365"/>
        <v>-0.963121573585204</v>
      </c>
      <c r="V45">
        <f t="shared" si="1355"/>
        <v>42</v>
      </c>
      <c r="W45">
        <f t="shared" si="1356"/>
        <v>-0.82089300302415003</v>
      </c>
      <c r="X45">
        <f t="shared" si="1357"/>
        <v>-0.963121573585204</v>
      </c>
      <c r="Y45">
        <f t="shared" si="1358"/>
        <v>0.14222857056105401</v>
      </c>
      <c r="Z45">
        <f t="shared" si="1346"/>
        <v>1.1002814389078199</v>
      </c>
      <c r="AA45">
        <f t="shared" si="1359"/>
        <v>-2.01428331625785</v>
      </c>
      <c r="AB45">
        <f t="shared" si="1360"/>
        <v>2.2987404573799499</v>
      </c>
      <c r="AD45">
        <f t="shared" si="1364"/>
        <v>42</v>
      </c>
      <c r="AE45">
        <f t="shared" si="1361"/>
        <v>10.1311459961181</v>
      </c>
    </row>
    <row r="46">
      <c r="A46">
        <f t="shared" si="1362"/>
        <v>43</v>
      </c>
      <c r="B46">
        <v>9.3102529930939451</v>
      </c>
      <c r="D46">
        <f t="shared" si="1363"/>
        <v>43</v>
      </c>
      <c r="E46">
        <f t="shared" si="1354"/>
        <v>0.64298446388596997</v>
      </c>
      <c r="F46">
        <f t="shared" si="1365"/>
        <v>0.11418390313413999</v>
      </c>
      <c r="V46">
        <f t="shared" si="1355"/>
        <v>43</v>
      </c>
      <c r="W46">
        <f t="shared" si="1356"/>
        <v>0.64298446388596997</v>
      </c>
      <c r="X46">
        <f t="shared" si="1357"/>
        <v>0.11418390313413999</v>
      </c>
      <c r="Y46">
        <f t="shared" si="1358"/>
        <v>0.52880056075183002</v>
      </c>
      <c r="Z46">
        <f t="shared" si="1346"/>
        <v>1.1002814389078199</v>
      </c>
      <c r="AA46">
        <f t="shared" si="1359"/>
        <v>-1.6277113260670699</v>
      </c>
      <c r="AB46">
        <f t="shared" si="1360"/>
        <v>2.68531244757073</v>
      </c>
      <c r="AD46">
        <f t="shared" si="1364"/>
        <v>43</v>
      </c>
      <c r="AE46">
        <f t="shared" si="1361"/>
        <v>9.3102529930939504</v>
      </c>
    </row>
    <row r="47">
      <c r="A47">
        <f t="shared" si="1362"/>
        <v>44</v>
      </c>
      <c r="B47">
        <v>9.9532374569799149</v>
      </c>
      <c r="D47">
        <f t="shared" si="1363"/>
        <v>44</v>
      </c>
      <c r="E47">
        <f t="shared" si="1354"/>
        <v>-2.1154482950360001e-02</v>
      </c>
      <c r="F47">
        <f t="shared" si="1365"/>
        <v>0.33279655870457903</v>
      </c>
      <c r="V47">
        <f t="shared" si="1355"/>
        <v>44</v>
      </c>
      <c r="W47">
        <f t="shared" si="1356"/>
        <v>-2.1154482950360001e-02</v>
      </c>
      <c r="X47">
        <f t="shared" si="1357"/>
        <v>0.33279655870457903</v>
      </c>
      <c r="Y47">
        <f t="shared" si="1358"/>
        <v>-0.35395104165493901</v>
      </c>
      <c r="Z47">
        <f t="shared" si="1346"/>
        <v>1.1002814389078199</v>
      </c>
      <c r="AA47">
        <f t="shared" si="1359"/>
        <v>-2.51046292847384</v>
      </c>
      <c r="AB47">
        <f t="shared" si="1360"/>
        <v>1.8025608451639601</v>
      </c>
      <c r="AD47">
        <f t="shared" si="1364"/>
        <v>44</v>
      </c>
      <c r="AE47">
        <f t="shared" si="1361"/>
        <v>9.9532374569799202</v>
      </c>
    </row>
    <row r="48">
      <c r="A48">
        <f t="shared" si="1362"/>
        <v>45</v>
      </c>
      <c r="B48">
        <v>9.9320829740295604</v>
      </c>
      <c r="D48">
        <f t="shared" si="1363"/>
        <v>45</v>
      </c>
      <c r="E48">
        <f t="shared" si="1354"/>
        <v>1.7030190054590399</v>
      </c>
      <c r="F48">
        <f t="shared" si="1365"/>
        <v>1.6989577560970299</v>
      </c>
      <c r="V48">
        <f t="shared" si="1355"/>
        <v>45</v>
      </c>
      <c r="W48">
        <f t="shared" si="1356"/>
        <v>1.7030190054590399</v>
      </c>
      <c r="X48">
        <f t="shared" si="1357"/>
        <v>1.6989577560970299</v>
      </c>
      <c r="Y48">
        <f t="shared" si="1358"/>
        <v>4.0612493620100004e-03</v>
      </c>
      <c r="Z48">
        <f t="shared" si="1346"/>
        <v>1.1002814389078199</v>
      </c>
      <c r="AA48">
        <f t="shared" si="1359"/>
        <v>-2.1524506374568899</v>
      </c>
      <c r="AB48">
        <f t="shared" si="1360"/>
        <v>2.16057313618091</v>
      </c>
      <c r="AD48">
        <f t="shared" si="1364"/>
        <v>45</v>
      </c>
      <c r="AE48">
        <f t="shared" si="1361"/>
        <v>9.9320829740295604</v>
      </c>
    </row>
    <row r="49">
      <c r="A49">
        <f t="shared" si="1362"/>
        <v>46</v>
      </c>
      <c r="B49">
        <v>11.635101979488615</v>
      </c>
      <c r="D49">
        <f t="shared" si="1363"/>
        <v>46</v>
      </c>
      <c r="E49">
        <f t="shared" si="1354"/>
        <v>-1.2068591570903999</v>
      </c>
      <c r="F49">
        <f t="shared" si="1365"/>
        <v>-2.8366923103500001e-03</v>
      </c>
      <c r="V49">
        <f t="shared" si="1355"/>
        <v>46</v>
      </c>
      <c r="W49">
        <f t="shared" si="1356"/>
        <v>-1.2068591570903999</v>
      </c>
      <c r="X49">
        <f t="shared" si="1357"/>
        <v>-2.8366923103500001e-03</v>
      </c>
      <c r="Y49">
        <f t="shared" si="1358"/>
        <v>-1.2040224647800499</v>
      </c>
      <c r="Z49">
        <f t="shared" si="1346"/>
        <v>1.1002814389078199</v>
      </c>
      <c r="AA49">
        <f t="shared" si="1359"/>
        <v>-3.3605343515989499</v>
      </c>
      <c r="AB49">
        <f t="shared" si="1360"/>
        <v>0.95248942203885001</v>
      </c>
      <c r="AD49">
        <f t="shared" si="1364"/>
        <v>46</v>
      </c>
      <c r="AE49">
        <f t="shared" si="1361"/>
        <v>11.635101979488599</v>
      </c>
    </row>
    <row r="50">
      <c r="A50">
        <f t="shared" si="1362"/>
        <v>47</v>
      </c>
      <c r="B50">
        <v>10.428242822398191</v>
      </c>
      <c r="D50">
        <f t="shared" si="1363"/>
        <v>47</v>
      </c>
      <c r="E50">
        <f t="shared" si="1354"/>
        <v>-0.73401213664844001</v>
      </c>
      <c r="F50">
        <f t="shared" si="1365"/>
        <v>-1.2624271530436599</v>
      </c>
      <c r="V50">
        <f t="shared" si="1355"/>
        <v>47</v>
      </c>
      <c r="W50">
        <f t="shared" si="1356"/>
        <v>-0.73401213664844001</v>
      </c>
      <c r="X50">
        <f t="shared" si="1357"/>
        <v>-1.2624271530436599</v>
      </c>
      <c r="Y50">
        <f t="shared" si="1358"/>
        <v>0.52841501639522004</v>
      </c>
      <c r="Z50">
        <f t="shared" si="1346"/>
        <v>1.1002814389078199</v>
      </c>
      <c r="AA50">
        <f t="shared" si="1359"/>
        <v>-1.62809687042368</v>
      </c>
      <c r="AB50">
        <f t="shared" si="1360"/>
        <v>2.6849269032141199</v>
      </c>
      <c r="AD50">
        <f t="shared" si="1364"/>
        <v>47</v>
      </c>
      <c r="AE50">
        <f t="shared" si="1361"/>
        <v>10.4282428223982</v>
      </c>
    </row>
    <row r="51">
      <c r="A51">
        <f t="shared" si="1362"/>
        <v>48</v>
      </c>
      <c r="B51">
        <v>9.6942306857497602</v>
      </c>
      <c r="D51">
        <f t="shared" si="1363"/>
        <v>48</v>
      </c>
      <c r="E51">
        <f t="shared" si="1354"/>
        <v>0.47480606662703895</v>
      </c>
      <c r="F51">
        <f t="shared" si="1365"/>
        <v>8.7230398607250001e-02</v>
      </c>
      <c r="V51">
        <f t="shared" si="1355"/>
        <v>48</v>
      </c>
      <c r="W51">
        <f t="shared" si="1356"/>
        <v>0.47480606662703895</v>
      </c>
      <c r="X51">
        <f t="shared" si="1357"/>
        <v>8.7230398607250001e-02</v>
      </c>
      <c r="Y51">
        <f t="shared" si="1358"/>
        <v>0.38757566801978899</v>
      </c>
      <c r="Z51">
        <f t="shared" si="1346"/>
        <v>1.1002814389078199</v>
      </c>
      <c r="AA51">
        <f t="shared" si="1359"/>
        <v>-1.76893621879911</v>
      </c>
      <c r="AB51">
        <f t="shared" si="1360"/>
        <v>2.5440875548386899</v>
      </c>
      <c r="AD51">
        <f t="shared" si="1364"/>
        <v>48</v>
      </c>
      <c r="AE51">
        <f t="shared" si="1361"/>
        <v>9.6942306857497602</v>
      </c>
    </row>
    <row r="52">
      <c r="A52">
        <f t="shared" si="1362"/>
        <v>49</v>
      </c>
      <c r="B52">
        <v>10.169036752376758</v>
      </c>
      <c r="D52">
        <f t="shared" si="1363"/>
        <v>49</v>
      </c>
      <c r="E52">
        <f t="shared" si="1354"/>
        <v>0.31761896021320102</v>
      </c>
      <c r="F52">
        <f t="shared" si="1365"/>
        <v>0.65674577962783898</v>
      </c>
      <c r="V52">
        <f t="shared" si="1355"/>
        <v>49</v>
      </c>
      <c r="W52">
        <f t="shared" si="1356"/>
        <v>0.31761896021320102</v>
      </c>
      <c r="X52">
        <f t="shared" si="1357"/>
        <v>0.65674577962783898</v>
      </c>
      <c r="Y52">
        <f t="shared" si="1358"/>
        <v>-0.33912681941463801</v>
      </c>
      <c r="Z52">
        <f t="shared" si="1346"/>
        <v>1.1002814389078199</v>
      </c>
      <c r="AA52">
        <f t="shared" si="1359"/>
        <v>-2.4956387062335401</v>
      </c>
      <c r="AB52">
        <f t="shared" si="1360"/>
        <v>1.81738506740426</v>
      </c>
      <c r="AD52">
        <f t="shared" si="1364"/>
        <v>49</v>
      </c>
      <c r="AE52">
        <f t="shared" si="1361"/>
        <v>10.169036752376799</v>
      </c>
    </row>
    <row r="53">
      <c r="A53">
        <f t="shared" si="1362"/>
        <v>50</v>
      </c>
      <c r="B53">
        <v>10.486655712590014</v>
      </c>
      <c r="D53">
        <f t="shared" si="1363"/>
        <v>50</v>
      </c>
      <c r="E53">
        <f t="shared" si="1354"/>
        <v>0.16949392746279901</v>
      </c>
      <c r="F53">
        <f t="shared" si="1365"/>
        <v>0.48532430857321296</v>
      </c>
      <c r="V53">
        <f t="shared" si="1355"/>
        <v>50</v>
      </c>
      <c r="W53">
        <f t="shared" si="1356"/>
        <v>0.16949392746279901</v>
      </c>
      <c r="X53">
        <f t="shared" si="1357"/>
        <v>0.48532430857321296</v>
      </c>
      <c r="Y53">
        <f t="shared" si="1358"/>
        <v>-0.315830381110414</v>
      </c>
      <c r="Z53">
        <f t="shared" si="1346"/>
        <v>1.1002814389078199</v>
      </c>
      <c r="AA53">
        <f t="shared" si="1359"/>
        <v>-2.4723422679293101</v>
      </c>
      <c r="AB53">
        <f t="shared" si="1360"/>
        <v>1.84068150570849</v>
      </c>
      <c r="AD53">
        <f t="shared" si="1364"/>
        <v>50</v>
      </c>
      <c r="AE53">
        <f t="shared" si="1361"/>
        <v>10.48665571259</v>
      </c>
    </row>
    <row r="54">
      <c r="A54">
        <f t="shared" si="1362"/>
        <v>51</v>
      </c>
      <c r="B54">
        <v>10.656149640052815</v>
      </c>
      <c r="D54">
        <f t="shared" si="1363"/>
        <v>51</v>
      </c>
      <c r="E54">
        <f t="shared" si="1354"/>
        <v>-0.52683207343679905</v>
      </c>
      <c r="F54">
        <f t="shared" si="1365"/>
        <v>-0.248731438628878</v>
      </c>
      <c r="V54">
        <f t="shared" si="1355"/>
        <v>51</v>
      </c>
      <c r="W54">
        <f t="shared" si="1356"/>
        <v>-0.52683207343679905</v>
      </c>
      <c r="X54">
        <f t="shared" si="1357"/>
        <v>-0.248731438628878</v>
      </c>
      <c r="Y54">
        <f t="shared" si="1358"/>
        <v>-0.27810063480792102</v>
      </c>
      <c r="Z54">
        <f t="shared" si="1346"/>
        <v>1.1002814389078199</v>
      </c>
      <c r="AA54">
        <f t="shared" si="1359"/>
        <v>-2.43461252162682</v>
      </c>
      <c r="AB54">
        <f t="shared" si="1360"/>
        <v>1.8784112520109799</v>
      </c>
      <c r="AD54">
        <f t="shared" si="1364"/>
        <v>51</v>
      </c>
      <c r="AE54">
        <f t="shared" si="1361"/>
        <v>10.656149640052799</v>
      </c>
    </row>
    <row r="55">
      <c r="A55">
        <f t="shared" si="1362"/>
        <v>52</v>
      </c>
      <c r="B55">
        <v>10.129317566616013</v>
      </c>
      <c r="D55">
        <f t="shared" si="1363"/>
        <v>52</v>
      </c>
      <c r="E55">
        <f t="shared" si="1354"/>
        <v>-1.1630118141977901</v>
      </c>
      <c r="F55">
        <f t="shared" si="1365"/>
        <v>-1.3286919441199601</v>
      </c>
      <c r="V55">
        <f t="shared" si="1355"/>
        <v>52</v>
      </c>
      <c r="W55">
        <f t="shared" si="1356"/>
        <v>-1.1630118141977901</v>
      </c>
      <c r="X55">
        <f t="shared" si="1357"/>
        <v>-1.3286919441199601</v>
      </c>
      <c r="Y55">
        <f t="shared" si="1358"/>
        <v>0.16568012992216999</v>
      </c>
      <c r="Z55">
        <f t="shared" si="1346"/>
        <v>1.1002814389078199</v>
      </c>
      <c r="AA55">
        <f t="shared" si="1359"/>
        <v>-1.99083175689673</v>
      </c>
      <c r="AB55">
        <f t="shared" si="1360"/>
        <v>2.3221920167410701</v>
      </c>
      <c r="AD55">
        <f t="shared" si="1364"/>
        <v>52</v>
      </c>
      <c r="AE55">
        <f t="shared" si="1361"/>
        <v>10.129317566616001</v>
      </c>
    </row>
    <row r="56">
      <c r="A56">
        <f t="shared" si="1362"/>
        <v>53</v>
      </c>
      <c r="B56">
        <v>8.9663057524182062</v>
      </c>
      <c r="D56">
        <f t="shared" si="1363"/>
        <v>53</v>
      </c>
      <c r="E56">
        <f t="shared" si="1354"/>
        <v>-0.85955431342572886</v>
      </c>
      <c r="F56">
        <f t="shared" si="1365"/>
        <v>-1.5496737564930301</v>
      </c>
      <c r="V56">
        <f t="shared" si="1355"/>
        <v>53</v>
      </c>
      <c r="W56">
        <f t="shared" si="1356"/>
        <v>-0.85955431342572886</v>
      </c>
      <c r="X56">
        <f t="shared" si="1357"/>
        <v>-1.5496737564930301</v>
      </c>
      <c r="Y56">
        <f t="shared" si="1358"/>
        <v>0.690119443067301</v>
      </c>
      <c r="Z56">
        <f t="shared" si="1346"/>
        <v>1.1002814389078199</v>
      </c>
      <c r="AA56">
        <f t="shared" si="1359"/>
        <v>-1.4663924437516</v>
      </c>
      <c r="AB56">
        <f t="shared" si="1360"/>
        <v>2.8466313298862</v>
      </c>
      <c r="AD56">
        <f t="shared" si="1364"/>
        <v>53</v>
      </c>
      <c r="AE56">
        <f t="shared" si="1361"/>
        <v>8.9663057524182097</v>
      </c>
    </row>
    <row r="57">
      <c r="A57">
        <f t="shared" si="1362"/>
        <v>54</v>
      </c>
      <c r="B57">
        <v>8.1067514389924806</v>
      </c>
      <c r="D57">
        <f t="shared" si="1363"/>
        <v>54</v>
      </c>
      <c r="E57">
        <f t="shared" si="1354"/>
        <v>0.56714731885902003</v>
      </c>
      <c r="F57">
        <f t="shared" si="1365"/>
        <v>-0.11049695993285</v>
      </c>
      <c r="V57">
        <f t="shared" si="1355"/>
        <v>54</v>
      </c>
      <c r="W57">
        <f t="shared" si="1356"/>
        <v>0.56714731885902003</v>
      </c>
      <c r="X57">
        <f t="shared" si="1357"/>
        <v>-0.11049695993285</v>
      </c>
      <c r="Y57">
        <f t="shared" si="1358"/>
        <v>0.67764427879186995</v>
      </c>
      <c r="Z57">
        <f t="shared" si="1346"/>
        <v>1.1002814389078199</v>
      </c>
      <c r="AA57">
        <f t="shared" si="1359"/>
        <v>-1.47886760802703</v>
      </c>
      <c r="AB57">
        <f t="shared" si="1360"/>
        <v>2.8341561656107701</v>
      </c>
      <c r="AD57">
        <f t="shared" si="1364"/>
        <v>54</v>
      </c>
      <c r="AE57">
        <f t="shared" si="1361"/>
        <v>8.1067514389924806</v>
      </c>
    </row>
    <row r="58">
      <c r="A58">
        <f t="shared" si="1362"/>
        <v>55</v>
      </c>
      <c r="B58">
        <v>8.6738987578515001</v>
      </c>
      <c r="D58">
        <f t="shared" si="1363"/>
        <v>55</v>
      </c>
      <c r="E58">
        <f t="shared" si="1354"/>
        <v>6.5963365907769994e-02</v>
      </c>
      <c r="F58">
        <f t="shared" si="1365"/>
        <v>0.22691582837763899</v>
      </c>
      <c r="V58">
        <f t="shared" si="1355"/>
        <v>55</v>
      </c>
      <c r="W58">
        <f t="shared" si="1356"/>
        <v>6.5963365907769994e-02</v>
      </c>
      <c r="X58">
        <f t="shared" si="1357"/>
        <v>0.22691582837763899</v>
      </c>
      <c r="Y58">
        <f t="shared" si="1358"/>
        <v>-0.160952462469869</v>
      </c>
      <c r="Z58">
        <f t="shared" si="1346"/>
        <v>1.1002814389078199</v>
      </c>
      <c r="AA58">
        <f t="shared" si="1359"/>
        <v>-2.3174643492887701</v>
      </c>
      <c r="AB58">
        <f t="shared" si="1360"/>
        <v>1.99555942434903</v>
      </c>
      <c r="AD58">
        <f t="shared" si="1364"/>
        <v>55</v>
      </c>
      <c r="AE58">
        <f t="shared" si="1361"/>
        <v>8.6738987578515001</v>
      </c>
    </row>
    <row r="59">
      <c r="A59">
        <f t="shared" si="1362"/>
        <v>56</v>
      </c>
      <c r="B59">
        <v>8.7398621237592646</v>
      </c>
      <c r="D59">
        <f t="shared" si="1363"/>
        <v>56</v>
      </c>
      <c r="E59">
        <f t="shared" si="1354"/>
        <v>2.4113973768790001e-02</v>
      </c>
      <c r="F59">
        <f t="shared" si="1365"/>
        <v>-8.4949760690907997e-02</v>
      </c>
      <c r="V59">
        <f t="shared" si="1355"/>
        <v>56</v>
      </c>
      <c r="W59">
        <f t="shared" si="1356"/>
        <v>2.4113973768790001e-02</v>
      </c>
      <c r="X59">
        <f t="shared" si="1357"/>
        <v>-8.4949760690907997e-02</v>
      </c>
      <c r="Y59">
        <f t="shared" si="1358"/>
        <v>0.109063734459698</v>
      </c>
      <c r="Z59">
        <f t="shared" si="1346"/>
        <v>1.1002814389078199</v>
      </c>
      <c r="AA59">
        <f t="shared" si="1359"/>
        <v>-2.0474481523592001</v>
      </c>
      <c r="AB59">
        <f t="shared" si="1360"/>
        <v>2.2655756212785998</v>
      </c>
      <c r="AD59">
        <f t="shared" si="1364"/>
        <v>56</v>
      </c>
      <c r="AE59">
        <f t="shared" si="1361"/>
        <v>8.73986212375927</v>
      </c>
    </row>
    <row r="60">
      <c r="A60">
        <f t="shared" si="1362"/>
        <v>57</v>
      </c>
      <c r="B60">
        <v>8.7639760975280581</v>
      </c>
      <c r="D60">
        <f t="shared" si="1363"/>
        <v>57</v>
      </c>
      <c r="E60">
        <f t="shared" si="1354"/>
        <v>1.84365617272284</v>
      </c>
      <c r="F60">
        <f t="shared" si="1365"/>
        <v>1.70319133800434</v>
      </c>
      <c r="V60">
        <f t="shared" si="1355"/>
        <v>57</v>
      </c>
      <c r="W60">
        <f t="shared" si="1356"/>
        <v>1.84365617272284</v>
      </c>
      <c r="X60">
        <f t="shared" si="1357"/>
        <v>1.70319133800434</v>
      </c>
      <c r="Y60">
        <f t="shared" si="1358"/>
        <v>0.14046483471849999</v>
      </c>
      <c r="Z60">
        <f t="shared" si="1346"/>
        <v>1.1002814389078199</v>
      </c>
      <c r="AA60">
        <f t="shared" si="1359"/>
        <v>-2.0160470521003999</v>
      </c>
      <c r="AB60">
        <f t="shared" si="1360"/>
        <v>2.2969767215374</v>
      </c>
      <c r="AD60">
        <f t="shared" si="1364"/>
        <v>57</v>
      </c>
      <c r="AE60">
        <f t="shared" si="1361"/>
        <v>8.7639760975280598</v>
      </c>
    </row>
    <row r="61">
      <c r="A61">
        <f t="shared" si="1362"/>
        <v>58</v>
      </c>
      <c r="B61">
        <v>10.607632270250908</v>
      </c>
      <c r="D61">
        <f t="shared" si="1363"/>
        <v>58</v>
      </c>
      <c r="E61">
        <f t="shared" si="1354"/>
        <v>-1.76134790413911</v>
      </c>
      <c r="F61">
        <f t="shared" si="1365"/>
        <v>-0.63368659279061001</v>
      </c>
      <c r="V61">
        <f t="shared" si="1355"/>
        <v>58</v>
      </c>
      <c r="W61">
        <f t="shared" si="1356"/>
        <v>-1.76134790413911</v>
      </c>
      <c r="X61">
        <f t="shared" si="1357"/>
        <v>-0.63368659279061001</v>
      </c>
      <c r="Y61">
        <f t="shared" si="1358"/>
        <v>-1.1276613113484999</v>
      </c>
      <c r="Z61">
        <f t="shared" si="1346"/>
        <v>1.1002814389078199</v>
      </c>
      <c r="AA61">
        <f t="shared" si="1359"/>
        <v>-3.2841731981673998</v>
      </c>
      <c r="AB61">
        <f t="shared" si="1360"/>
        <v>1.0288505754704</v>
      </c>
      <c r="AD61">
        <f t="shared" si="1364"/>
        <v>58</v>
      </c>
      <c r="AE61">
        <f t="shared" si="1361"/>
        <v>10.6076322702509</v>
      </c>
    </row>
    <row r="62">
      <c r="A62">
        <f t="shared" si="1362"/>
        <v>59</v>
      </c>
      <c r="B62">
        <v>8.8462843661117905</v>
      </c>
      <c r="D62">
        <f t="shared" si="1363"/>
        <v>59</v>
      </c>
      <c r="E62">
        <f t="shared" si="1354"/>
        <v>-0.648853894032971</v>
      </c>
      <c r="F62">
        <f t="shared" si="1365"/>
        <v>-1.7320223918450901</v>
      </c>
      <c r="V62">
        <f t="shared" si="1355"/>
        <v>59</v>
      </c>
      <c r="W62">
        <f t="shared" si="1356"/>
        <v>-0.648853894032971</v>
      </c>
      <c r="X62">
        <f t="shared" si="1357"/>
        <v>-1.7320223918450901</v>
      </c>
      <c r="Y62">
        <f t="shared" si="1358"/>
        <v>1.0831684978121201</v>
      </c>
      <c r="Z62">
        <f t="shared" si="1346"/>
        <v>1.1002814389078199</v>
      </c>
      <c r="AA62">
        <f t="shared" si="1359"/>
        <v>-1.0733433890067801</v>
      </c>
      <c r="AB62">
        <f t="shared" si="1360"/>
        <v>3.2396803846310198</v>
      </c>
      <c r="AD62">
        <f t="shared" si="1364"/>
        <v>59</v>
      </c>
      <c r="AE62">
        <f t="shared" si="1361"/>
        <v>8.8462843661117905</v>
      </c>
    </row>
    <row r="63">
      <c r="A63">
        <f t="shared" si="1362"/>
        <v>60</v>
      </c>
      <c r="B63">
        <v>8.197430472078814</v>
      </c>
      <c r="D63">
        <f t="shared" si="1363"/>
        <v>60</v>
      </c>
      <c r="E63">
        <f t="shared" si="1354"/>
        <v>1.5030373387145799</v>
      </c>
      <c r="F63">
        <f t="shared" si="1365"/>
        <v>0.89390212453986995</v>
      </c>
      <c r="V63">
        <f t="shared" si="1355"/>
        <v>60</v>
      </c>
      <c r="W63">
        <f t="shared" si="1356"/>
        <v>1.5030373387145799</v>
      </c>
      <c r="X63">
        <f t="shared" si="1357"/>
        <v>0.89390212453986995</v>
      </c>
      <c r="Y63">
        <f t="shared" si="1358"/>
        <v>0.60913521417470995</v>
      </c>
      <c r="Z63">
        <f t="shared" si="1346"/>
        <v>1.1002814389078199</v>
      </c>
      <c r="AA63">
        <f t="shared" si="1359"/>
        <v>-1.54737667264419</v>
      </c>
      <c r="AB63">
        <f t="shared" si="1360"/>
        <v>2.7656471009936099</v>
      </c>
      <c r="AD63">
        <f t="shared" si="1364"/>
        <v>60</v>
      </c>
      <c r="AE63">
        <f t="shared" si="1361"/>
        <v>8.1974304720788194</v>
      </c>
    </row>
    <row r="64">
      <c r="A64">
        <f t="shared" si="1362"/>
        <v>61</v>
      </c>
      <c r="B64">
        <v>9.7004678107933984</v>
      </c>
      <c r="D64">
        <f t="shared" si="1363"/>
        <v>61</v>
      </c>
      <c r="E64">
        <f t="shared" si="1354"/>
        <v>-0.20165934776715999</v>
      </c>
      <c r="F64">
        <f t="shared" si="1365"/>
        <v>0.56838285466722305</v>
      </c>
      <c r="V64">
        <f t="shared" si="1355"/>
        <v>61</v>
      </c>
      <c r="W64">
        <f t="shared" si="1356"/>
        <v>-0.20165934776715999</v>
      </c>
      <c r="X64">
        <f t="shared" si="1357"/>
        <v>0.56838285466722305</v>
      </c>
      <c r="Y64">
        <f t="shared" si="1358"/>
        <v>-0.77004220243438304</v>
      </c>
      <c r="Z64">
        <f t="shared" si="1346"/>
        <v>1.1002814389078199</v>
      </c>
      <c r="AA64">
        <f t="shared" si="1359"/>
        <v>-2.9265540892532802</v>
      </c>
      <c r="AB64">
        <f t="shared" si="1360"/>
        <v>1.3864696843845199</v>
      </c>
      <c r="AD64">
        <f t="shared" si="1364"/>
        <v>61</v>
      </c>
      <c r="AE64">
        <f t="shared" si="1361"/>
        <v>9.7004678107934001</v>
      </c>
    </row>
    <row r="65">
      <c r="A65">
        <f t="shared" si="1362"/>
        <v>62</v>
      </c>
      <c r="B65">
        <v>9.4988084630262417</v>
      </c>
      <c r="D65">
        <f t="shared" si="1363"/>
        <v>62</v>
      </c>
      <c r="E65">
        <f t="shared" si="1354"/>
        <v>0.20157731591235101</v>
      </c>
      <c r="F65">
        <f t="shared" si="1365"/>
        <v>2.2647262577799001e-02</v>
      </c>
      <c r="V65">
        <f t="shared" si="1355"/>
        <v>62</v>
      </c>
      <c r="W65">
        <f t="shared" si="1356"/>
        <v>0.20157731591235101</v>
      </c>
      <c r="X65">
        <f t="shared" si="1357"/>
        <v>2.2647262577799001e-02</v>
      </c>
      <c r="Y65">
        <f t="shared" si="1358"/>
        <v>0.178930053334552</v>
      </c>
      <c r="Z65">
        <f t="shared" si="1346"/>
        <v>1.1002814389078199</v>
      </c>
      <c r="AA65">
        <f t="shared" si="1359"/>
        <v>-1.97758183348435</v>
      </c>
      <c r="AB65">
        <f t="shared" si="1360"/>
        <v>2.3354419401534501</v>
      </c>
      <c r="AD65">
        <f t="shared" si="1364"/>
        <v>62</v>
      </c>
      <c r="AE65">
        <f t="shared" si="1361"/>
        <v>9.4988084630262399</v>
      </c>
    </row>
    <row r="66">
      <c r="A66">
        <f t="shared" si="1362"/>
        <v>63</v>
      </c>
      <c r="B66">
        <v>9.7003857789385926</v>
      </c>
      <c r="D66">
        <f t="shared" si="1363"/>
        <v>63</v>
      </c>
      <c r="E66">
        <f t="shared" si="1354"/>
        <v>0.11924221499984</v>
      </c>
      <c r="F66">
        <f t="shared" si="1365"/>
        <v>0.18337677719603401</v>
      </c>
      <c r="V66">
        <f t="shared" si="1355"/>
        <v>63</v>
      </c>
      <c r="W66">
        <f t="shared" si="1356"/>
        <v>0.11924221499984</v>
      </c>
      <c r="X66">
        <f t="shared" si="1357"/>
        <v>0.18337677719603401</v>
      </c>
      <c r="Y66">
        <f t="shared" si="1358"/>
        <v>-6.4134562196193998e-02</v>
      </c>
      <c r="Z66">
        <f t="shared" si="1346"/>
        <v>1.1002814389078199</v>
      </c>
      <c r="AA66">
        <f t="shared" si="1359"/>
        <v>-2.2206464490150899</v>
      </c>
      <c r="AB66">
        <f t="shared" si="1360"/>
        <v>2.09237732462271</v>
      </c>
      <c r="AD66">
        <f t="shared" si="1364"/>
        <v>63</v>
      </c>
      <c r="AE66">
        <f t="shared" si="1361"/>
        <v>9.7003857789385908</v>
      </c>
    </row>
    <row r="67">
      <c r="A67">
        <f t="shared" si="1362"/>
        <v>64</v>
      </c>
      <c r="B67">
        <v>9.8196279939384326</v>
      </c>
      <c r="D67">
        <f t="shared" si="1363"/>
        <v>64</v>
      </c>
      <c r="E67">
        <f t="shared" si="1354"/>
        <v>2.5374175912962702</v>
      </c>
      <c r="F67">
        <f t="shared" si="1365"/>
        <v>2.5734909044359902</v>
      </c>
      <c r="V67">
        <f t="shared" si="1355"/>
        <v>64</v>
      </c>
      <c r="W67">
        <f t="shared" si="1356"/>
        <v>2.5374175912962702</v>
      </c>
      <c r="X67">
        <f t="shared" si="1357"/>
        <v>2.5734909044359902</v>
      </c>
      <c r="Y67">
        <f t="shared" si="1358"/>
        <v>-3.6073313139720002e-02</v>
      </c>
      <c r="Z67">
        <f t="shared" si="1346"/>
        <v>1.1002814389078199</v>
      </c>
      <c r="AA67">
        <f t="shared" si="1359"/>
        <v>-2.1925851999586201</v>
      </c>
      <c r="AB67">
        <f t="shared" si="1360"/>
        <v>2.1204385736791802</v>
      </c>
      <c r="AD67">
        <f t="shared" si="1364"/>
        <v>64</v>
      </c>
      <c r="AE67">
        <f t="shared" si="1361"/>
        <v>9.8196279939384308</v>
      </c>
    </row>
    <row r="68">
      <c r="A68">
        <f t="shared" si="1362"/>
        <v>65</v>
      </c>
      <c r="B68">
        <v>12.357045585234705</v>
      </c>
      <c r="D68">
        <f t="shared" si="1363"/>
        <v>65</v>
      </c>
      <c r="E68">
        <f t="shared" si="1354"/>
        <v>-1.4334411711337001</v>
      </c>
      <c r="F68">
        <f t="shared" si="1365"/>
        <v>0.31846773877383999</v>
      </c>
      <c r="V68">
        <f t="shared" si="1355"/>
        <v>65</v>
      </c>
      <c r="W68">
        <f t="shared" si="1356"/>
        <v>-1.4334411711337001</v>
      </c>
      <c r="X68">
        <f t="shared" si="1357"/>
        <v>0.31846773877383999</v>
      </c>
      <c r="Y68">
        <f t="shared" si="1358"/>
        <v>-1.75190890990754</v>
      </c>
      <c r="Z68">
        <f t="shared" ref="Z68:Z107" si="1367">J$15</f>
        <v>1.1002814389078199</v>
      </c>
      <c r="AA68">
        <f t="shared" si="1359"/>
        <v>-3.9084207967264399</v>
      </c>
      <c r="AB68">
        <f t="shared" si="1360"/>
        <v>0.40460297691136005</v>
      </c>
      <c r="AD68">
        <f t="shared" si="1364"/>
        <v>65</v>
      </c>
      <c r="AE68">
        <f t="shared" si="1361"/>
        <v>12.357045585234699</v>
      </c>
    </row>
    <row r="69">
      <c r="A69">
        <f t="shared" si="1362"/>
        <v>66</v>
      </c>
      <c r="B69">
        <v>10.923604414101041</v>
      </c>
      <c r="D69">
        <f t="shared" si="1363"/>
        <v>66</v>
      </c>
      <c r="E69">
        <f t="shared" si="1354"/>
        <v>-1.22283856749442</v>
      </c>
      <c r="F69">
        <f t="shared" si="1365"/>
        <v>-1.7998153339596901</v>
      </c>
      <c r="V69">
        <f t="shared" si="1355"/>
        <v>66</v>
      </c>
      <c r="W69">
        <f t="shared" si="1356"/>
        <v>-1.22283856749442</v>
      </c>
      <c r="X69">
        <f t="shared" si="1357"/>
        <v>-1.7998153339596901</v>
      </c>
      <c r="Y69">
        <f t="shared" si="1358"/>
        <v>0.57697676646526996</v>
      </c>
      <c r="Z69">
        <f t="shared" si="1367"/>
        <v>1.1002814389078199</v>
      </c>
      <c r="AA69">
        <f t="shared" si="1359"/>
        <v>-1.5795351203536301</v>
      </c>
      <c r="AB69">
        <f t="shared" si="1360"/>
        <v>2.7334886532841698</v>
      </c>
      <c r="AD69">
        <f t="shared" si="1364"/>
        <v>66</v>
      </c>
      <c r="AE69">
        <f t="shared" si="1361"/>
        <v>10.923604414101</v>
      </c>
    </row>
    <row r="70">
      <c r="A70">
        <f t="shared" si="1362"/>
        <v>67</v>
      </c>
      <c r="B70">
        <v>9.7007658466065791</v>
      </c>
      <c r="D70">
        <f t="shared" si="1363"/>
        <v>67</v>
      </c>
      <c r="E70">
        <f t="shared" si="1354"/>
        <v>0.57339521810752103</v>
      </c>
      <c r="F70">
        <f t="shared" si="1365"/>
        <v>-7.826180062707e-02</v>
      </c>
      <c r="V70">
        <f t="shared" si="1355"/>
        <v>67</v>
      </c>
      <c r="W70">
        <f t="shared" si="1356"/>
        <v>0.57339521810752103</v>
      </c>
      <c r="X70">
        <f t="shared" si="1357"/>
        <v>-7.826180062707e-02</v>
      </c>
      <c r="Y70">
        <f t="shared" si="1358"/>
        <v>0.65165701873459103</v>
      </c>
      <c r="Z70">
        <f t="shared" si="1367"/>
        <v>1.1002814389078199</v>
      </c>
      <c r="AA70">
        <f t="shared" si="1359"/>
        <v>-1.5048548680843099</v>
      </c>
      <c r="AB70">
        <f t="shared" si="1360"/>
        <v>2.8081689055534902</v>
      </c>
      <c r="AD70">
        <f t="shared" si="1364"/>
        <v>67</v>
      </c>
      <c r="AE70">
        <f t="shared" si="1361"/>
        <v>9.7007658466065791</v>
      </c>
    </row>
    <row r="71">
      <c r="A71">
        <f t="shared" si="1362"/>
        <v>68</v>
      </c>
      <c r="B71">
        <v>10.274161064714082</v>
      </c>
      <c r="D71">
        <f t="shared" si="1363"/>
        <v>68</v>
      </c>
      <c r="E71">
        <f t="shared" si="1354"/>
        <v>-0.5180801911581</v>
      </c>
      <c r="F71">
        <f t="shared" si="1365"/>
        <v>-0.11245665466893</v>
      </c>
      <c r="V71">
        <f t="shared" si="1355"/>
        <v>68</v>
      </c>
      <c r="W71">
        <f t="shared" si="1356"/>
        <v>-0.5180801911581</v>
      </c>
      <c r="X71">
        <f t="shared" si="1357"/>
        <v>-0.11245665466893</v>
      </c>
      <c r="Y71">
        <f t="shared" si="1358"/>
        <v>-0.40562353648916999</v>
      </c>
      <c r="Z71">
        <f t="shared" si="1367"/>
        <v>1.1002814389078199</v>
      </c>
      <c r="AA71">
        <f t="shared" si="1359"/>
        <v>-2.56213542330807</v>
      </c>
      <c r="AB71">
        <f t="shared" si="1360"/>
        <v>1.7508883503297299</v>
      </c>
      <c r="AD71">
        <f t="shared" si="1364"/>
        <v>68</v>
      </c>
      <c r="AE71">
        <f t="shared" si="1361"/>
        <v>10.2741610647141</v>
      </c>
    </row>
    <row r="72">
      <c r="A72">
        <f t="shared" si="1362"/>
        <v>69</v>
      </c>
      <c r="B72">
        <v>9.7560808735559998</v>
      </c>
      <c r="D72">
        <f t="shared" si="1363"/>
        <v>69</v>
      </c>
      <c r="E72">
        <f t="shared" si="1354"/>
        <v>-0.46834903150441998</v>
      </c>
      <c r="F72">
        <f t="shared" si="1365"/>
        <v>-0.72448353175496105</v>
      </c>
      <c r="V72">
        <f t="shared" si="1355"/>
        <v>69</v>
      </c>
      <c r="W72">
        <f t="shared" si="1356"/>
        <v>-0.46834903150441998</v>
      </c>
      <c r="X72">
        <f t="shared" si="1357"/>
        <v>-0.72448353175496105</v>
      </c>
      <c r="Y72">
        <f t="shared" si="1358"/>
        <v>0.25613450025054102</v>
      </c>
      <c r="Z72">
        <f t="shared" si="1367"/>
        <v>1.1002814389078199</v>
      </c>
      <c r="AA72">
        <f t="shared" si="1359"/>
        <v>-1.90037738656836</v>
      </c>
      <c r="AB72">
        <f t="shared" si="1360"/>
        <v>2.4126463870694401</v>
      </c>
      <c r="AD72">
        <f t="shared" si="1364"/>
        <v>69</v>
      </c>
      <c r="AE72">
        <f t="shared" si="1361"/>
        <v>9.7560808735559998</v>
      </c>
    </row>
    <row r="73">
      <c r="A73">
        <f t="shared" si="1362"/>
        <v>70</v>
      </c>
      <c r="B73">
        <v>9.2877318420515778</v>
      </c>
      <c r="D73">
        <f t="shared" si="1363"/>
        <v>70</v>
      </c>
      <c r="E73">
        <f t="shared" si="1354"/>
        <v>-0.49292414514580002</v>
      </c>
      <c r="F73">
        <f t="shared" si="1365"/>
        <v>-0.79888214911423905</v>
      </c>
      <c r="V73">
        <f t="shared" si="1355"/>
        <v>70</v>
      </c>
      <c r="W73">
        <f t="shared" si="1356"/>
        <v>-0.49292414514580002</v>
      </c>
      <c r="X73">
        <f t="shared" si="1357"/>
        <v>-0.79888214911423905</v>
      </c>
      <c r="Y73">
        <f t="shared" si="1358"/>
        <v>0.30595800396843897</v>
      </c>
      <c r="Z73">
        <f t="shared" si="1367"/>
        <v>1.1002814389078199</v>
      </c>
      <c r="AA73">
        <f t="shared" si="1359"/>
        <v>-1.85055388285046</v>
      </c>
      <c r="AB73">
        <f t="shared" si="1360"/>
        <v>2.4624698907873399</v>
      </c>
      <c r="AD73">
        <f t="shared" si="1364"/>
        <v>70</v>
      </c>
      <c r="AE73">
        <f t="shared" si="1361"/>
        <v>9.2877318420515795</v>
      </c>
    </row>
    <row r="74">
      <c r="A74">
        <f t="shared" si="1362"/>
        <v>71</v>
      </c>
      <c r="B74">
        <v>8.7948076969057745</v>
      </c>
      <c r="D74">
        <f t="shared" si="1363"/>
        <v>71</v>
      </c>
      <c r="E74">
        <f t="shared" ref="E74:E98" si="1368">B75-B74</f>
        <v>1.1573582483518701</v>
      </c>
      <c r="F74">
        <f t="shared" si="1365"/>
        <v>0.75080113455116104</v>
      </c>
      <c r="V74">
        <f t="shared" ref="V74:V99" si="1369">D74</f>
        <v>71</v>
      </c>
      <c r="W74">
        <f t="shared" ref="W74:W99" si="1370">E74</f>
        <v>1.1573582483518701</v>
      </c>
      <c r="X74">
        <f t="shared" ref="X74:X99" si="1371">F74</f>
        <v>0.75080113455116104</v>
      </c>
      <c r="Y74">
        <f t="shared" ref="Y74:Y99" si="1372">W74-X74</f>
        <v>0.40655711380070902</v>
      </c>
      <c r="Z74">
        <f t="shared" si="1367"/>
        <v>1.1002814389078199</v>
      </c>
      <c r="AA74">
        <f t="shared" ref="AA74:AA99" si="1373">Y74-NORMSINV(1-Z$2/2)*Z74</f>
        <v>-1.7499547730181899</v>
      </c>
      <c r="AB74">
        <f t="shared" ref="AB74:AB99" si="1374">Y74+NORMSINV(1-Z$2/2)*Z74</f>
        <v>2.5630690006196102</v>
      </c>
      <c r="AD74">
        <f t="shared" si="1364"/>
        <v>71</v>
      </c>
      <c r="AE74">
        <f t="shared" ref="AE74:AE99" si="1375">B74</f>
        <v>8.7948076969057798</v>
      </c>
    </row>
    <row r="75">
      <c r="A75">
        <f t="shared" ref="A75:A100" si="1376">A74+1</f>
        <v>72</v>
      </c>
      <c r="B75">
        <v>9.9521659452576507</v>
      </c>
      <c r="D75">
        <f t="shared" ref="D75:D100" si="1377">D74+1</f>
        <v>72</v>
      </c>
      <c r="E75">
        <f t="shared" si="1368"/>
        <v>-0.80564815197410089</v>
      </c>
      <c r="F75">
        <f t="shared" si="1365"/>
        <v>-0.14848573202555301</v>
      </c>
      <c r="V75">
        <f t="shared" si="1369"/>
        <v>72</v>
      </c>
      <c r="W75">
        <f t="shared" si="1370"/>
        <v>-0.80564815197410089</v>
      </c>
      <c r="X75">
        <f t="shared" si="1371"/>
        <v>-0.14848573202555301</v>
      </c>
      <c r="Y75">
        <f t="shared" si="1372"/>
        <v>-0.65716241994854796</v>
      </c>
      <c r="Z75">
        <f t="shared" si="1367"/>
        <v>1.1002814389078199</v>
      </c>
      <c r="AA75">
        <f t="shared" si="1373"/>
        <v>-2.8136743067674499</v>
      </c>
      <c r="AB75">
        <f t="shared" si="1374"/>
        <v>1.49934946687035</v>
      </c>
      <c r="AD75">
        <f t="shared" ref="AD75:AD100" si="1378">AD74+1</f>
        <v>72</v>
      </c>
      <c r="AE75">
        <f t="shared" si="1375"/>
        <v>9.9521659452576507</v>
      </c>
    </row>
    <row r="76">
      <c r="A76">
        <f t="shared" si="1376"/>
        <v>73</v>
      </c>
      <c r="B76">
        <v>9.1465177932835449</v>
      </c>
      <c r="D76">
        <f t="shared" si="1377"/>
        <v>73</v>
      </c>
      <c r="E76">
        <f t="shared" si="1368"/>
        <v>-0.73444497047407098</v>
      </c>
      <c r="F76">
        <f t="shared" ref="F76:F99" si="1379">E76-SUMPRODUCT(E74:E75,I$4:I$5)-SUMPRODUCT(F75,J$5)</f>
        <v>-1.2589850287975399</v>
      </c>
      <c r="V76">
        <f t="shared" si="1369"/>
        <v>73</v>
      </c>
      <c r="W76">
        <f t="shared" si="1370"/>
        <v>-0.73444497047407098</v>
      </c>
      <c r="X76">
        <f t="shared" si="1371"/>
        <v>-1.2589850287975399</v>
      </c>
      <c r="Y76">
        <f t="shared" si="1372"/>
        <v>0.52454005832346895</v>
      </c>
      <c r="Z76">
        <f t="shared" si="1367"/>
        <v>1.1002814389078199</v>
      </c>
      <c r="AA76">
        <f t="shared" si="1373"/>
        <v>-1.6319718284954301</v>
      </c>
      <c r="AB76">
        <f t="shared" si="1374"/>
        <v>2.6810519451423702</v>
      </c>
      <c r="AD76">
        <f t="shared" si="1378"/>
        <v>73</v>
      </c>
      <c r="AE76">
        <f t="shared" si="1375"/>
        <v>9.1465177932835502</v>
      </c>
    </row>
    <row r="77">
      <c r="A77">
        <f t="shared" si="1376"/>
        <v>74</v>
      </c>
      <c r="B77">
        <v>8.4120728228094741</v>
      </c>
      <c r="D77">
        <f t="shared" si="1377"/>
        <v>74</v>
      </c>
      <c r="E77">
        <f t="shared" si="1368"/>
        <v>1.31177451781527</v>
      </c>
      <c r="F77">
        <f t="shared" si="1379"/>
        <v>0.69404469717257999</v>
      </c>
      <c r="V77">
        <f t="shared" si="1369"/>
        <v>74</v>
      </c>
      <c r="W77">
        <f t="shared" si="1370"/>
        <v>1.31177451781527</v>
      </c>
      <c r="X77">
        <f t="shared" si="1371"/>
        <v>0.69404469717257999</v>
      </c>
      <c r="Y77">
        <f t="shared" si="1372"/>
        <v>0.61772982064269</v>
      </c>
      <c r="Z77">
        <f t="shared" si="1367"/>
        <v>1.1002814389078199</v>
      </c>
      <c r="AA77">
        <f t="shared" si="1373"/>
        <v>-1.5387820661762099</v>
      </c>
      <c r="AB77">
        <f t="shared" si="1374"/>
        <v>2.7742417074615902</v>
      </c>
      <c r="AD77">
        <f t="shared" si="1378"/>
        <v>74</v>
      </c>
      <c r="AE77">
        <f t="shared" si="1375"/>
        <v>8.4120728228094794</v>
      </c>
    </row>
    <row r="78">
      <c r="A78">
        <f t="shared" si="1376"/>
        <v>75</v>
      </c>
      <c r="B78">
        <v>9.7238473406247508</v>
      </c>
      <c r="D78">
        <f t="shared" si="1377"/>
        <v>75</v>
      </c>
      <c r="E78">
        <f t="shared" si="1368"/>
        <v>-1.27505858726415</v>
      </c>
      <c r="F78">
        <f t="shared" si="1379"/>
        <v>-0.59878443854305097</v>
      </c>
      <c r="V78">
        <f t="shared" si="1369"/>
        <v>75</v>
      </c>
      <c r="W78">
        <f t="shared" si="1370"/>
        <v>-1.27505858726415</v>
      </c>
      <c r="X78">
        <f t="shared" si="1371"/>
        <v>-0.59878443854305097</v>
      </c>
      <c r="Y78">
        <f t="shared" si="1372"/>
        <v>-0.67627414872109903</v>
      </c>
      <c r="Z78">
        <f t="shared" si="1367"/>
        <v>1.1002814389078199</v>
      </c>
      <c r="AA78">
        <f t="shared" si="1373"/>
        <v>-2.8327860355399999</v>
      </c>
      <c r="AB78">
        <f t="shared" si="1374"/>
        <v>1.4802377380978</v>
      </c>
      <c r="AD78">
        <f t="shared" si="1378"/>
        <v>75</v>
      </c>
      <c r="AE78">
        <f t="shared" si="1375"/>
        <v>9.7238473406247508</v>
      </c>
    </row>
    <row r="79">
      <c r="A79">
        <f t="shared" si="1376"/>
        <v>76</v>
      </c>
      <c r="B79">
        <v>8.4487887533605956</v>
      </c>
      <c r="D79">
        <f t="shared" si="1377"/>
        <v>76</v>
      </c>
      <c r="E79">
        <f t="shared" si="1368"/>
        <v>0.860380874625301</v>
      </c>
      <c r="F79">
        <f t="shared" si="1379"/>
        <v>-6.309921633523502e-02</v>
      </c>
      <c r="V79">
        <f t="shared" si="1369"/>
        <v>76</v>
      </c>
      <c r="W79">
        <f t="shared" si="1370"/>
        <v>0.860380874625301</v>
      </c>
      <c r="X79">
        <f t="shared" si="1371"/>
        <v>-6.309921633523502e-02</v>
      </c>
      <c r="Y79">
        <f t="shared" si="1372"/>
        <v>0.92348009096053596</v>
      </c>
      <c r="Z79">
        <f t="shared" si="1367"/>
        <v>1.1002814389078199</v>
      </c>
      <c r="AA79">
        <f t="shared" si="1373"/>
        <v>-1.2330317958583601</v>
      </c>
      <c r="AB79">
        <f t="shared" si="1374"/>
        <v>3.0799919777794398</v>
      </c>
      <c r="AD79">
        <f t="shared" si="1378"/>
        <v>76</v>
      </c>
      <c r="AE79">
        <f t="shared" si="1375"/>
        <v>8.4487887533605992</v>
      </c>
    </row>
    <row r="80">
      <c r="A80">
        <f t="shared" si="1376"/>
        <v>77</v>
      </c>
      <c r="B80">
        <v>9.3091696279858969</v>
      </c>
      <c r="D80">
        <f t="shared" si="1377"/>
        <v>77</v>
      </c>
      <c r="E80">
        <f t="shared" si="1368"/>
        <v>0.31992544424647901</v>
      </c>
      <c r="F80">
        <f t="shared" si="1379"/>
        <v>0.66119848554169502</v>
      </c>
      <c r="V80">
        <f t="shared" si="1369"/>
        <v>77</v>
      </c>
      <c r="W80">
        <f t="shared" si="1370"/>
        <v>0.31992544424647901</v>
      </c>
      <c r="X80">
        <f t="shared" si="1371"/>
        <v>0.66119848554169502</v>
      </c>
      <c r="Y80">
        <f t="shared" si="1372"/>
        <v>-0.34127304129521602</v>
      </c>
      <c r="Z80">
        <f t="shared" si="1367"/>
        <v>1.1002814389078199</v>
      </c>
      <c r="AA80">
        <f t="shared" si="1373"/>
        <v>-2.49778492811412</v>
      </c>
      <c r="AB80">
        <f t="shared" si="1374"/>
        <v>1.8152388455236801</v>
      </c>
      <c r="AD80">
        <f t="shared" si="1378"/>
        <v>77</v>
      </c>
      <c r="AE80">
        <f t="shared" si="1375"/>
        <v>9.3091696279859004</v>
      </c>
    </row>
    <row r="81">
      <c r="A81">
        <f t="shared" si="1376"/>
        <v>78</v>
      </c>
      <c r="B81">
        <v>9.6290950722323778</v>
      </c>
      <c r="D81">
        <f t="shared" si="1377"/>
        <v>78</v>
      </c>
      <c r="E81">
        <f t="shared" si="1368"/>
        <v>0.86965926988922104</v>
      </c>
      <c r="F81">
        <f t="shared" si="1379"/>
        <v>0.96449703003148402</v>
      </c>
      <c r="V81">
        <f t="shared" si="1369"/>
        <v>78</v>
      </c>
      <c r="W81">
        <f t="shared" si="1370"/>
        <v>0.86965926988922104</v>
      </c>
      <c r="X81">
        <f t="shared" si="1371"/>
        <v>0.96449703003148402</v>
      </c>
      <c r="Y81">
        <f t="shared" si="1372"/>
        <v>-9.4837760142262986e-02</v>
      </c>
      <c r="Z81">
        <f t="shared" si="1367"/>
        <v>1.1002814389078199</v>
      </c>
      <c r="AA81">
        <f t="shared" si="1373"/>
        <v>-2.25134964696116</v>
      </c>
      <c r="AB81">
        <f t="shared" si="1374"/>
        <v>2.0616741266766399</v>
      </c>
      <c r="AD81">
        <f t="shared" si="1378"/>
        <v>78</v>
      </c>
      <c r="AE81">
        <f t="shared" si="1375"/>
        <v>9.6290950722323796</v>
      </c>
    </row>
    <row r="82">
      <c r="A82">
        <f t="shared" si="1376"/>
        <v>79</v>
      </c>
      <c r="B82">
        <v>10.498754342121549</v>
      </c>
      <c r="D82">
        <f t="shared" si="1377"/>
        <v>79</v>
      </c>
      <c r="E82">
        <f t="shared" si="1368"/>
        <v>-2.3641983074958399</v>
      </c>
      <c r="F82">
        <f t="shared" si="1379"/>
        <v>-1.83664244086437</v>
      </c>
      <c r="V82">
        <f t="shared" si="1369"/>
        <v>79</v>
      </c>
      <c r="W82">
        <f t="shared" si="1370"/>
        <v>-2.3641983074958399</v>
      </c>
      <c r="X82">
        <f t="shared" si="1371"/>
        <v>-1.83664244086437</v>
      </c>
      <c r="Y82">
        <f t="shared" si="1372"/>
        <v>-0.52755586663147003</v>
      </c>
      <c r="Z82">
        <f t="shared" si="1367"/>
        <v>1.1002814389078199</v>
      </c>
      <c r="AA82">
        <f t="shared" si="1373"/>
        <v>-2.6840677534503699</v>
      </c>
      <c r="AB82">
        <f t="shared" si="1374"/>
        <v>1.62895602018743</v>
      </c>
      <c r="AD82">
        <f t="shared" si="1378"/>
        <v>79</v>
      </c>
      <c r="AE82">
        <f t="shared" si="1375"/>
        <v>10.4987543421216</v>
      </c>
    </row>
    <row r="83">
      <c r="A83">
        <f t="shared" si="1376"/>
        <v>80</v>
      </c>
      <c r="B83">
        <v>8.1345560346257617</v>
      </c>
      <c r="D83">
        <f t="shared" si="1377"/>
        <v>80</v>
      </c>
      <c r="E83">
        <f t="shared" si="1368"/>
        <v>1.0206275277374799</v>
      </c>
      <c r="F83">
        <f t="shared" si="1379"/>
        <v>-0.57201965439605995</v>
      </c>
      <c r="V83">
        <f t="shared" si="1369"/>
        <v>80</v>
      </c>
      <c r="W83">
        <f t="shared" si="1370"/>
        <v>1.0206275277374799</v>
      </c>
      <c r="X83">
        <f t="shared" si="1371"/>
        <v>-0.57201965439605995</v>
      </c>
      <c r="Y83">
        <f t="shared" si="1372"/>
        <v>1.59264718213354</v>
      </c>
      <c r="Z83">
        <f t="shared" si="1367"/>
        <v>1.1002814389078199</v>
      </c>
      <c r="AA83">
        <f t="shared" si="1373"/>
        <v>-0.56386470468535999</v>
      </c>
      <c r="AB83">
        <f t="shared" si="1374"/>
        <v>3.7491590689524399</v>
      </c>
      <c r="AD83">
        <f t="shared" si="1378"/>
        <v>80</v>
      </c>
      <c r="AE83">
        <f t="shared" si="1375"/>
        <v>8.1345560346257599</v>
      </c>
    </row>
    <row r="84">
      <c r="A84">
        <f t="shared" si="1376"/>
        <v>81</v>
      </c>
      <c r="B84">
        <v>9.155183562363236</v>
      </c>
      <c r="D84">
        <f t="shared" si="1377"/>
        <v>81</v>
      </c>
      <c r="E84">
        <f t="shared" si="1368"/>
        <v>-1.1630981222893899</v>
      </c>
      <c r="F84">
        <f t="shared" si="1379"/>
        <v>-0.80346955928511699</v>
      </c>
      <c r="V84">
        <f t="shared" si="1369"/>
        <v>81</v>
      </c>
      <c r="W84">
        <f t="shared" si="1370"/>
        <v>-1.1630981222893899</v>
      </c>
      <c r="X84">
        <f t="shared" si="1371"/>
        <v>-0.80346955928511699</v>
      </c>
      <c r="Y84">
        <f t="shared" si="1372"/>
        <v>-0.35962856300427298</v>
      </c>
      <c r="Z84">
        <f t="shared" si="1367"/>
        <v>1.1002814389078199</v>
      </c>
      <c r="AA84">
        <f t="shared" si="1373"/>
        <v>-2.5161404498231699</v>
      </c>
      <c r="AB84">
        <f t="shared" si="1374"/>
        <v>1.79688332381463</v>
      </c>
      <c r="AD84">
        <f t="shared" si="1378"/>
        <v>81</v>
      </c>
      <c r="AE84">
        <f t="shared" si="1375"/>
        <v>9.1551835623632396</v>
      </c>
    </row>
    <row r="85">
      <c r="A85">
        <f t="shared" si="1376"/>
        <v>82</v>
      </c>
      <c r="B85">
        <v>7.9920854400738497</v>
      </c>
      <c r="D85">
        <f t="shared" si="1377"/>
        <v>82</v>
      </c>
      <c r="E85">
        <f t="shared" si="1368"/>
        <v>2.4474415565955501</v>
      </c>
      <c r="F85">
        <f t="shared" si="1379"/>
        <v>1.42720603320032</v>
      </c>
      <c r="V85">
        <f t="shared" si="1369"/>
        <v>82</v>
      </c>
      <c r="W85">
        <f t="shared" si="1370"/>
        <v>2.4474415565955501</v>
      </c>
      <c r="X85">
        <f t="shared" si="1371"/>
        <v>1.42720603320032</v>
      </c>
      <c r="Y85">
        <f t="shared" si="1372"/>
        <v>1.02023552339523</v>
      </c>
      <c r="Z85">
        <f t="shared" si="1367"/>
        <v>1.1002814389078199</v>
      </c>
      <c r="AA85">
        <f t="shared" si="1373"/>
        <v>-1.1362763634236701</v>
      </c>
      <c r="AB85">
        <f t="shared" si="1374"/>
        <v>3.17674741021413</v>
      </c>
      <c r="AD85">
        <f t="shared" si="1378"/>
        <v>82</v>
      </c>
      <c r="AE85">
        <f t="shared" si="1375"/>
        <v>7.9920854400738497</v>
      </c>
    </row>
    <row r="86">
      <c r="A86">
        <f t="shared" si="1376"/>
        <v>83</v>
      </c>
      <c r="B86">
        <v>10.439526996669359</v>
      </c>
      <c r="D86">
        <f t="shared" si="1377"/>
        <v>83</v>
      </c>
      <c r="E86">
        <f t="shared" si="1368"/>
        <v>0.735725731752499</v>
      </c>
      <c r="F86">
        <f t="shared" si="1379"/>
        <v>2.0208478996328698</v>
      </c>
      <c r="V86">
        <f t="shared" si="1369"/>
        <v>83</v>
      </c>
      <c r="W86">
        <f t="shared" si="1370"/>
        <v>0.735725731752499</v>
      </c>
      <c r="X86">
        <f t="shared" si="1371"/>
        <v>2.0208478996328698</v>
      </c>
      <c r="Y86">
        <f t="shared" si="1372"/>
        <v>-1.2851221678803699</v>
      </c>
      <c r="Z86">
        <f t="shared" si="1367"/>
        <v>1.1002814389078199</v>
      </c>
      <c r="AA86">
        <f t="shared" si="1373"/>
        <v>-3.4416340546992701</v>
      </c>
      <c r="AB86">
        <f t="shared" si="1374"/>
        <v>0.87138971893853001</v>
      </c>
      <c r="AD86">
        <f t="shared" si="1378"/>
        <v>83</v>
      </c>
      <c r="AE86">
        <f t="shared" si="1375"/>
        <v>10.4395269966694</v>
      </c>
    </row>
    <row r="87">
      <c r="A87">
        <f t="shared" si="1376"/>
        <v>84</v>
      </c>
      <c r="B87">
        <v>11.175252728421924</v>
      </c>
      <c r="D87">
        <f t="shared" si="1377"/>
        <v>84</v>
      </c>
      <c r="E87">
        <f t="shared" si="1368"/>
        <v>-1.25374923935843</v>
      </c>
      <c r="F87">
        <f t="shared" si="1379"/>
        <v>-0.76368331751537</v>
      </c>
      <c r="V87">
        <f t="shared" si="1369"/>
        <v>84</v>
      </c>
      <c r="W87">
        <f t="shared" si="1370"/>
        <v>-1.25374923935843</v>
      </c>
      <c r="X87">
        <f t="shared" si="1371"/>
        <v>-0.76368331751537</v>
      </c>
      <c r="Y87">
        <f t="shared" si="1372"/>
        <v>-0.49006592184305997</v>
      </c>
      <c r="Z87">
        <f t="shared" si="1367"/>
        <v>1.1002814389078199</v>
      </c>
      <c r="AA87">
        <f t="shared" si="1373"/>
        <v>-2.6465778086619598</v>
      </c>
      <c r="AB87">
        <f t="shared" si="1374"/>
        <v>1.6664459649758401</v>
      </c>
      <c r="AD87">
        <f t="shared" si="1378"/>
        <v>84</v>
      </c>
      <c r="AE87">
        <f t="shared" si="1375"/>
        <v>11.175252728421899</v>
      </c>
    </row>
    <row r="88">
      <c r="A88">
        <f t="shared" si="1376"/>
        <v>85</v>
      </c>
      <c r="B88">
        <v>9.9215034890634719</v>
      </c>
      <c r="D88">
        <f t="shared" si="1377"/>
        <v>85</v>
      </c>
      <c r="E88">
        <f t="shared" si="1368"/>
        <v>0.73151537486162999</v>
      </c>
      <c r="F88">
        <f t="shared" si="1379"/>
        <v>-4.3949441436435997e-02</v>
      </c>
      <c r="V88">
        <f t="shared" si="1369"/>
        <v>85</v>
      </c>
      <c r="W88">
        <f t="shared" si="1370"/>
        <v>0.73151537486162999</v>
      </c>
      <c r="X88">
        <f t="shared" si="1371"/>
        <v>-4.3949441436435997e-02</v>
      </c>
      <c r="Y88">
        <f t="shared" si="1372"/>
        <v>0.77546481629806596</v>
      </c>
      <c r="Z88">
        <f t="shared" si="1367"/>
        <v>1.1002814389078199</v>
      </c>
      <c r="AA88">
        <f t="shared" si="1373"/>
        <v>-1.38104707052083</v>
      </c>
      <c r="AB88">
        <f t="shared" si="1374"/>
        <v>2.9319767031169701</v>
      </c>
      <c r="AD88">
        <f t="shared" si="1378"/>
        <v>85</v>
      </c>
      <c r="AE88">
        <f t="shared" si="1375"/>
        <v>9.9215034890634701</v>
      </c>
    </row>
    <row r="89">
      <c r="A89">
        <f t="shared" si="1376"/>
        <v>86</v>
      </c>
      <c r="B89">
        <v>10.653018863925139</v>
      </c>
      <c r="D89">
        <f t="shared" si="1377"/>
        <v>86</v>
      </c>
      <c r="E89">
        <f t="shared" si="1368"/>
        <v>-0.35205382796539902</v>
      </c>
      <c r="F89">
        <f t="shared" si="1379"/>
        <v>4.7665927439762001e-02</v>
      </c>
      <c r="V89">
        <f t="shared" si="1369"/>
        <v>86</v>
      </c>
      <c r="W89">
        <f t="shared" si="1370"/>
        <v>-0.35205382796539902</v>
      </c>
      <c r="X89">
        <f t="shared" si="1371"/>
        <v>4.7665927439762001e-02</v>
      </c>
      <c r="Y89">
        <f t="shared" si="1372"/>
        <v>-0.39971975540516103</v>
      </c>
      <c r="Z89">
        <f t="shared" si="1367"/>
        <v>1.1002814389078199</v>
      </c>
      <c r="AA89">
        <f t="shared" si="1373"/>
        <v>-2.5562316422240601</v>
      </c>
      <c r="AB89">
        <f t="shared" si="1374"/>
        <v>1.75679213141374</v>
      </c>
      <c r="AD89">
        <f t="shared" si="1378"/>
        <v>86</v>
      </c>
      <c r="AE89">
        <f t="shared" si="1375"/>
        <v>10.6530188639251</v>
      </c>
    </row>
    <row r="90">
      <c r="A90">
        <f t="shared" si="1376"/>
        <v>87</v>
      </c>
      <c r="B90">
        <v>10.300965035959743</v>
      </c>
      <c r="D90">
        <f t="shared" si="1377"/>
        <v>87</v>
      </c>
      <c r="E90">
        <f t="shared" si="1368"/>
        <v>-0.97825339391925203</v>
      </c>
      <c r="F90">
        <f t="shared" si="1379"/>
        <v>-1.2164677970368301</v>
      </c>
      <c r="V90">
        <f t="shared" si="1369"/>
        <v>87</v>
      </c>
      <c r="W90">
        <f t="shared" si="1370"/>
        <v>-0.97825339391925203</v>
      </c>
      <c r="X90">
        <f t="shared" si="1371"/>
        <v>-1.2164677970368301</v>
      </c>
      <c r="Y90">
        <f t="shared" si="1372"/>
        <v>0.23821440311757799</v>
      </c>
      <c r="Z90">
        <f t="shared" si="1367"/>
        <v>1.1002814389078199</v>
      </c>
      <c r="AA90">
        <f t="shared" si="1373"/>
        <v>-1.91829748370132</v>
      </c>
      <c r="AB90">
        <f t="shared" si="1374"/>
        <v>2.3947262899364801</v>
      </c>
      <c r="AD90">
        <f t="shared" si="1378"/>
        <v>87</v>
      </c>
      <c r="AE90">
        <f t="shared" si="1375"/>
        <v>10.300965035959701</v>
      </c>
    </row>
    <row r="91">
      <c r="A91">
        <f t="shared" si="1376"/>
        <v>88</v>
      </c>
      <c r="B91">
        <v>9.322711642040451</v>
      </c>
      <c r="D91">
        <f t="shared" si="1377"/>
        <v>88</v>
      </c>
      <c r="E91">
        <f t="shared" si="1368"/>
        <v>1.88578525594155</v>
      </c>
      <c r="F91">
        <f t="shared" si="1379"/>
        <v>1.1443736050134301</v>
      </c>
      <c r="V91">
        <f t="shared" si="1369"/>
        <v>88</v>
      </c>
      <c r="W91">
        <f t="shared" si="1370"/>
        <v>1.88578525594155</v>
      </c>
      <c r="X91">
        <f t="shared" si="1371"/>
        <v>1.1443736050134301</v>
      </c>
      <c r="Y91">
        <f t="shared" si="1372"/>
        <v>0.74141165092812</v>
      </c>
      <c r="Z91">
        <f t="shared" si="1367"/>
        <v>1.1002814389078199</v>
      </c>
      <c r="AA91">
        <f t="shared" si="1373"/>
        <v>-1.41510023589078</v>
      </c>
      <c r="AB91">
        <f t="shared" si="1374"/>
        <v>2.8979235377470198</v>
      </c>
      <c r="AD91">
        <f t="shared" si="1378"/>
        <v>88</v>
      </c>
      <c r="AE91">
        <f t="shared" si="1375"/>
        <v>9.3227116420404492</v>
      </c>
    </row>
    <row r="92">
      <c r="A92">
        <f t="shared" si="1376"/>
        <v>89</v>
      </c>
      <c r="B92">
        <v>11.208496897982</v>
      </c>
      <c r="D92">
        <f t="shared" si="1377"/>
        <v>89</v>
      </c>
      <c r="E92">
        <f t="shared" si="1368"/>
        <v>-1.37478464676694</v>
      </c>
      <c r="F92">
        <f t="shared" si="1379"/>
        <v>-0.28796867966787998</v>
      </c>
      <c r="V92">
        <f t="shared" si="1369"/>
        <v>89</v>
      </c>
      <c r="W92">
        <f t="shared" si="1370"/>
        <v>-1.37478464676694</v>
      </c>
      <c r="X92">
        <f t="shared" si="1371"/>
        <v>-0.28796867966787998</v>
      </c>
      <c r="Y92">
        <f t="shared" si="1372"/>
        <v>-1.08681596709906</v>
      </c>
      <c r="Z92">
        <f t="shared" si="1367"/>
        <v>1.1002814389078199</v>
      </c>
      <c r="AA92">
        <f t="shared" si="1373"/>
        <v>-3.2433278539179602</v>
      </c>
      <c r="AB92">
        <f t="shared" si="1374"/>
        <v>1.0696959197198399</v>
      </c>
      <c r="AD92">
        <f t="shared" si="1378"/>
        <v>89</v>
      </c>
      <c r="AE92">
        <f t="shared" si="1375"/>
        <v>11.208496897982</v>
      </c>
    </row>
    <row r="93">
      <c r="A93">
        <f t="shared" si="1376"/>
        <v>90</v>
      </c>
      <c r="B93">
        <v>9.8337122512150561</v>
      </c>
      <c r="D93">
        <f t="shared" si="1377"/>
        <v>90</v>
      </c>
      <c r="E93">
        <f t="shared" si="1368"/>
        <v>1.17551665315204</v>
      </c>
      <c r="F93">
        <f t="shared" si="1379"/>
        <v>0.29473492380955102</v>
      </c>
      <c r="V93">
        <f t="shared" si="1369"/>
        <v>90</v>
      </c>
      <c r="W93">
        <f t="shared" si="1370"/>
        <v>1.17551665315204</v>
      </c>
      <c r="X93">
        <f t="shared" si="1371"/>
        <v>0.29473492380955102</v>
      </c>
      <c r="Y93">
        <f t="shared" si="1372"/>
        <v>0.88078172934248899</v>
      </c>
      <c r="Z93">
        <f t="shared" si="1367"/>
        <v>1.1002814389078199</v>
      </c>
      <c r="AA93">
        <f t="shared" si="1373"/>
        <v>-1.2757301574764099</v>
      </c>
      <c r="AB93">
        <f t="shared" si="1374"/>
        <v>3.0372936161613899</v>
      </c>
      <c r="AD93">
        <f t="shared" si="1378"/>
        <v>90</v>
      </c>
      <c r="AE93">
        <f t="shared" si="1375"/>
        <v>9.8337122512150597</v>
      </c>
    </row>
    <row r="94">
      <c r="A94">
        <f t="shared" si="1376"/>
        <v>91</v>
      </c>
      <c r="B94">
        <v>11.009228904367124</v>
      </c>
      <c r="D94">
        <f t="shared" si="1377"/>
        <v>91</v>
      </c>
      <c r="E94">
        <f t="shared" si="1368"/>
        <v>-1.3370172401079301</v>
      </c>
      <c r="F94">
        <f t="shared" si="1379"/>
        <v>-0.66967169354060296</v>
      </c>
      <c r="V94">
        <f t="shared" si="1369"/>
        <v>91</v>
      </c>
      <c r="W94">
        <f t="shared" si="1370"/>
        <v>-1.3370172401079301</v>
      </c>
      <c r="X94">
        <f t="shared" si="1371"/>
        <v>-0.66967169354060296</v>
      </c>
      <c r="Y94">
        <f t="shared" si="1372"/>
        <v>-0.66734554656732703</v>
      </c>
      <c r="Z94">
        <f t="shared" si="1367"/>
        <v>1.1002814389078199</v>
      </c>
      <c r="AA94">
        <f t="shared" si="1373"/>
        <v>-2.8238574333862299</v>
      </c>
      <c r="AB94">
        <f t="shared" si="1374"/>
        <v>1.48916634025157</v>
      </c>
      <c r="AD94">
        <f t="shared" si="1378"/>
        <v>91</v>
      </c>
      <c r="AE94">
        <f t="shared" si="1375"/>
        <v>11.009228904367101</v>
      </c>
    </row>
    <row r="95">
      <c r="A95">
        <f t="shared" si="1376"/>
        <v>92</v>
      </c>
      <c r="B95">
        <v>9.672211664259164</v>
      </c>
      <c r="D95">
        <f t="shared" si="1377"/>
        <v>92</v>
      </c>
      <c r="E95">
        <f t="shared" si="1368"/>
        <v>-1.6501564988329001</v>
      </c>
      <c r="F95">
        <f t="shared" si="1379"/>
        <v>-2.5473924437409501</v>
      </c>
      <c r="V95">
        <f t="shared" si="1369"/>
        <v>92</v>
      </c>
      <c r="W95">
        <f t="shared" si="1370"/>
        <v>-1.6501564988329001</v>
      </c>
      <c r="X95">
        <f t="shared" si="1371"/>
        <v>-2.5473924437409501</v>
      </c>
      <c r="Y95">
        <f t="shared" si="1372"/>
        <v>0.89723594490805003</v>
      </c>
      <c r="Z95">
        <f t="shared" si="1367"/>
        <v>1.1002814389078199</v>
      </c>
      <c r="AA95">
        <f t="shared" si="1373"/>
        <v>-1.2592759419108499</v>
      </c>
      <c r="AB95">
        <f t="shared" si="1374"/>
        <v>3.05374783172695</v>
      </c>
      <c r="AD95">
        <f t="shared" si="1378"/>
        <v>92</v>
      </c>
      <c r="AE95">
        <f t="shared" si="1375"/>
        <v>9.6722116642591693</v>
      </c>
    </row>
    <row r="96">
      <c r="A96">
        <f t="shared" si="1376"/>
        <v>93</v>
      </c>
      <c r="B96">
        <v>8.0220551654262664</v>
      </c>
      <c r="D96">
        <f t="shared" si="1377"/>
        <v>93</v>
      </c>
      <c r="E96">
        <f t="shared" si="1368"/>
        <v>1.07810532128201</v>
      </c>
      <c r="F96">
        <f t="shared" si="1379"/>
        <v>-0.27912448083166003</v>
      </c>
      <c r="V96">
        <f t="shared" si="1369"/>
        <v>93</v>
      </c>
      <c r="W96">
        <f t="shared" si="1370"/>
        <v>1.07810532128201</v>
      </c>
      <c r="X96">
        <f t="shared" si="1371"/>
        <v>-0.27912448083166003</v>
      </c>
      <c r="Y96">
        <f t="shared" si="1372"/>
        <v>1.3572298021136699</v>
      </c>
      <c r="Z96">
        <f t="shared" si="1367"/>
        <v>1.1002814389078199</v>
      </c>
      <c r="AA96">
        <f t="shared" si="1373"/>
        <v>-0.79928208470522999</v>
      </c>
      <c r="AB96">
        <f t="shared" si="1374"/>
        <v>3.5137416889325701</v>
      </c>
      <c r="AD96">
        <f t="shared" si="1378"/>
        <v>93</v>
      </c>
      <c r="AE96">
        <f t="shared" si="1375"/>
        <v>8.02205516542627</v>
      </c>
    </row>
    <row r="97">
      <c r="A97">
        <f t="shared" si="1376"/>
        <v>94</v>
      </c>
      <c r="B97">
        <v>9.1001604867082797</v>
      </c>
      <c r="D97">
        <f t="shared" si="1377"/>
        <v>94</v>
      </c>
      <c r="E97">
        <f t="shared" si="1368"/>
        <v>1.19340308312362</v>
      </c>
      <c r="F97">
        <f t="shared" si="1379"/>
        <v>1.4334988817015899</v>
      </c>
      <c r="V97">
        <f t="shared" si="1369"/>
        <v>94</v>
      </c>
      <c r="W97">
        <f t="shared" si="1370"/>
        <v>1.19340308312362</v>
      </c>
      <c r="X97">
        <f t="shared" si="1371"/>
        <v>1.4334988817015899</v>
      </c>
      <c r="Y97">
        <f t="shared" si="1372"/>
        <v>-0.24009579857797</v>
      </c>
      <c r="Z97">
        <f t="shared" si="1367"/>
        <v>1.1002814389078199</v>
      </c>
      <c r="AA97">
        <f t="shared" si="1373"/>
        <v>-2.3966076853968699</v>
      </c>
      <c r="AB97">
        <f t="shared" si="1374"/>
        <v>1.91641608824093</v>
      </c>
      <c r="AD97">
        <f t="shared" si="1378"/>
        <v>94</v>
      </c>
      <c r="AE97">
        <f t="shared" si="1375"/>
        <v>9.1001604867082797</v>
      </c>
    </row>
    <row r="98">
      <c r="A98">
        <f t="shared" si="1376"/>
        <v>95</v>
      </c>
      <c r="B98">
        <v>10.293563569831946</v>
      </c>
      <c r="D98">
        <f t="shared" si="1377"/>
        <v>95</v>
      </c>
      <c r="E98">
        <f t="shared" si="1368"/>
        <v>0.58057432252460095</v>
      </c>
      <c r="F98">
        <f t="shared" si="1379"/>
        <v>1.0515527151697801</v>
      </c>
      <c r="V98">
        <f t="shared" si="1369"/>
        <v>95</v>
      </c>
      <c r="W98">
        <f t="shared" si="1370"/>
        <v>0.58057432252460095</v>
      </c>
      <c r="X98">
        <f t="shared" si="1371"/>
        <v>1.0515527151697801</v>
      </c>
      <c r="Y98">
        <f t="shared" si="1372"/>
        <v>-0.47097839264517899</v>
      </c>
      <c r="Z98">
        <f t="shared" si="1367"/>
        <v>1.1002814389078199</v>
      </c>
      <c r="AA98">
        <f t="shared" si="1373"/>
        <v>-2.6274902794640802</v>
      </c>
      <c r="AB98">
        <f t="shared" si="1374"/>
        <v>1.6855334941737199</v>
      </c>
      <c r="AD98">
        <f t="shared" si="1378"/>
        <v>95</v>
      </c>
      <c r="AE98">
        <f t="shared" si="1375"/>
        <v>10.2935635698319</v>
      </c>
    </row>
    <row r="99">
      <c r="A99">
        <f t="shared" si="1376"/>
        <v>96</v>
      </c>
      <c r="B99">
        <v>10.874137892356456</v>
      </c>
      <c r="D99">
        <f t="shared" si="1377"/>
        <v>96</v>
      </c>
      <c r="E99">
        <f>B100-B99</f>
        <v>0.1744510380256</v>
      </c>
      <c r="F99">
        <f t="shared" si="1379"/>
        <v>0.39948528798875699</v>
      </c>
      <c r="V99">
        <f t="shared" si="1369"/>
        <v>96</v>
      </c>
      <c r="W99">
        <f t="shared" si="1370"/>
        <v>0.1744510380256</v>
      </c>
      <c r="X99">
        <f t="shared" si="1371"/>
        <v>0.39948528798875699</v>
      </c>
      <c r="Y99">
        <f t="shared" si="1372"/>
        <v>-0.22503424996315696</v>
      </c>
      <c r="Z99">
        <f t="shared" si="1367"/>
        <v>1.1002814389078199</v>
      </c>
      <c r="AA99">
        <f t="shared" si="1373"/>
        <v>-2.3815461367820601</v>
      </c>
      <c r="AB99">
        <f t="shared" si="1374"/>
        <v>1.93147763685574</v>
      </c>
      <c r="AD99">
        <f t="shared" si="1378"/>
        <v>96</v>
      </c>
      <c r="AE99">
        <f t="shared" si="1375"/>
        <v>10.874137892356501</v>
      </c>
    </row>
    <row r="100">
      <c r="A100">
        <f t="shared" si="1376"/>
        <v>97</v>
      </c>
      <c r="B100">
        <v>11.048588930382072</v>
      </c>
      <c r="D100">
        <f t="shared" si="1377"/>
        <v>97</v>
      </c>
      <c r="E100">
        <f t="shared" ref="E100:E107" si="1380">B101-B100</f>
        <v>-0.67148532197620103</v>
      </c>
      <c r="F100">
        <f>E100-SUMPRODUCT(E98:E99,I$4:I$5)-SUMPRODUCT(F99,J$5)</f>
        <v>-0.64231573287852095</v>
      </c>
      <c r="V100">
        <f t="shared" ref="V100:V107" si="1381">D100</f>
        <v>97</v>
      </c>
      <c r="W100">
        <f t="shared" ref="W100:W107" si="1382">E100</f>
        <v>-0.67148532197620103</v>
      </c>
      <c r="X100">
        <f t="shared" ref="X100:X107" si="1383">F100</f>
        <v>-0.64231573287852095</v>
      </c>
      <c r="Y100">
        <f t="shared" ref="Y100:Y107" si="1384">W100-X100</f>
        <v>-2.9169589097679999e-02</v>
      </c>
      <c r="Z100">
        <f t="shared" si="1367"/>
        <v>1.1002814389078199</v>
      </c>
      <c r="AA100">
        <f t="shared" ref="AA100:AA112" si="1385">Y100-NORMSINV(1-Z$2/2)*Z100</f>
        <v>-2.1856814759165801</v>
      </c>
      <c r="AB100">
        <f t="shared" ref="AB100:AB112" si="1386">Y100+NORMSINV(1-Z$2/2)*Z100</f>
        <v>2.1273422977212202</v>
      </c>
      <c r="AD100">
        <f t="shared" si="1378"/>
        <v>97</v>
      </c>
      <c r="AE100">
        <f t="shared" ref="AE100:AE108" si="1387">B100</f>
        <v>11.048588930382101</v>
      </c>
    </row>
    <row r="101">
      <c r="A101">
        <f t="shared" ref="A101:A108" si="1388">A100+1</f>
        <v>98</v>
      </c>
      <c r="B101">
        <v>10.377103608405848</v>
      </c>
      <c r="D101">
        <f t="shared" ref="D101:D107" si="1389">D100+1</f>
        <v>98</v>
      </c>
      <c r="E101">
        <f t="shared" si="1380"/>
        <v>0.72362979806950101</v>
      </c>
      <c r="F101">
        <f>E101-SUMPRODUCT(E99:E100,I$4:I$5)-SUMPRODUCT(F100,J$5)</f>
        <v>0.18204105841469001</v>
      </c>
      <c r="V101">
        <f t="shared" si="1381"/>
        <v>98</v>
      </c>
      <c r="W101">
        <f t="shared" si="1382"/>
        <v>0.72362979806950101</v>
      </c>
      <c r="X101">
        <f t="shared" si="1383"/>
        <v>0.18204105841469001</v>
      </c>
      <c r="Y101">
        <f t="shared" si="1384"/>
        <v>0.54158873965481102</v>
      </c>
      <c r="Z101">
        <f t="shared" si="1367"/>
        <v>1.1002814389078199</v>
      </c>
      <c r="AA101">
        <f t="shared" si="1385"/>
        <v>-1.6149231471640899</v>
      </c>
      <c r="AB101">
        <f t="shared" si="1386"/>
        <v>2.69810062647371</v>
      </c>
      <c r="AD101">
        <f t="shared" ref="AD101:AD113" si="1390">AD100+1</f>
        <v>98</v>
      </c>
      <c r="AE101">
        <f t="shared" si="1387"/>
        <v>10.3771036084059</v>
      </c>
    </row>
    <row r="102">
      <c r="A102">
        <f t="shared" si="1388"/>
        <v>99</v>
      </c>
      <c r="B102">
        <v>11.100733406475408</v>
      </c>
      <c r="D102">
        <f t="shared" si="1389"/>
        <v>99</v>
      </c>
      <c r="E102">
        <f t="shared" si="1380"/>
        <v>-1.5442767167039599</v>
      </c>
      <c r="F102">
        <f t="shared" ref="F102:F107" si="1391">E102-SUMPRODUCT(E100:E101,I$4:I$5)-SUMPRODUCT(F101,J$5)</f>
        <v>-1.2347959032628</v>
      </c>
      <c r="V102">
        <f t="shared" si="1381"/>
        <v>99</v>
      </c>
      <c r="W102">
        <f t="shared" si="1382"/>
        <v>-1.5442767167039599</v>
      </c>
      <c r="X102">
        <f t="shared" si="1383"/>
        <v>-1.2347959032628</v>
      </c>
      <c r="Y102">
        <f t="shared" si="1384"/>
        <v>-0.30948081344116002</v>
      </c>
      <c r="Z102">
        <f t="shared" si="1367"/>
        <v>1.1002814389078199</v>
      </c>
      <c r="AA102">
        <f t="shared" si="1385"/>
        <v>-2.4659927002600601</v>
      </c>
      <c r="AB102">
        <f t="shared" si="1386"/>
        <v>1.84703107337774</v>
      </c>
      <c r="AD102">
        <f t="shared" si="1390"/>
        <v>99</v>
      </c>
      <c r="AE102">
        <f t="shared" si="1387"/>
        <v>11.100733406475401</v>
      </c>
    </row>
    <row r="103">
      <c r="A103">
        <f t="shared" si="1388"/>
        <v>100</v>
      </c>
      <c r="B103">
        <v>9.5564566897714425</v>
      </c>
      <c r="D103">
        <f t="shared" si="1389"/>
        <v>100</v>
      </c>
      <c r="E103">
        <f t="shared" si="1380"/>
        <v>0.57015532242645905</v>
      </c>
      <c r="F103">
        <f t="shared" si="1391"/>
        <v>-0.59920275071659401</v>
      </c>
      <c r="V103">
        <f t="shared" si="1381"/>
        <v>100</v>
      </c>
      <c r="W103">
        <f t="shared" si="1382"/>
        <v>0.57015532242645905</v>
      </c>
      <c r="X103">
        <f t="shared" si="1383"/>
        <v>-0.59920275071659401</v>
      </c>
      <c r="Y103">
        <f t="shared" si="1384"/>
        <v>1.16935807314305</v>
      </c>
      <c r="Z103">
        <f t="shared" si="1367"/>
        <v>1.1002814389078199</v>
      </c>
      <c r="AA103">
        <f t="shared" si="1385"/>
        <v>-0.98715381367584987</v>
      </c>
      <c r="AB103">
        <f t="shared" si="1386"/>
        <v>3.3258699599619499</v>
      </c>
      <c r="AD103">
        <f t="shared" si="1390"/>
        <v>100</v>
      </c>
      <c r="AE103">
        <f t="shared" si="1387"/>
        <v>9.5564566897714407</v>
      </c>
    </row>
    <row r="104">
      <c r="A104">
        <f t="shared" si="1388"/>
        <v>101</v>
      </c>
      <c r="B104">
        <v>10.126612012197912</v>
      </c>
      <c r="D104">
        <f t="shared" si="1389"/>
        <v>101</v>
      </c>
      <c r="E104">
        <f t="shared" si="1380"/>
        <v>0.49204478752089997</v>
      </c>
      <c r="F104">
        <f t="shared" si="1391"/>
        <v>0.518455740017156</v>
      </c>
      <c r="V104">
        <f t="shared" si="1381"/>
        <v>101</v>
      </c>
      <c r="W104">
        <f t="shared" si="1382"/>
        <v>0.49204478752089997</v>
      </c>
      <c r="X104">
        <f t="shared" si="1383"/>
        <v>0.518455740017156</v>
      </c>
      <c r="Y104">
        <f t="shared" si="1384"/>
        <v>-2.6410952496256003e-02</v>
      </c>
      <c r="Z104">
        <f t="shared" si="1367"/>
        <v>1.1002814389078199</v>
      </c>
      <c r="AA104">
        <f t="shared" si="1385"/>
        <v>-2.1829228393151601</v>
      </c>
      <c r="AB104">
        <f t="shared" si="1386"/>
        <v>2.1301009343226398</v>
      </c>
      <c r="AD104">
        <f t="shared" si="1390"/>
        <v>101</v>
      </c>
      <c r="AE104">
        <f t="shared" si="1387"/>
        <v>10.126612012197899</v>
      </c>
    </row>
    <row r="105">
      <c r="A105">
        <f t="shared" si="1388"/>
        <v>102</v>
      </c>
      <c r="B105">
        <v>10.618656799718755</v>
      </c>
      <c r="D105">
        <f t="shared" si="1389"/>
        <v>102</v>
      </c>
      <c r="E105">
        <f t="shared" si="1380"/>
        <v>0.7507208477949</v>
      </c>
      <c r="F105">
        <f t="shared" si="1391"/>
        <v>0.79246255881369099</v>
      </c>
      <c r="V105">
        <f t="shared" si="1381"/>
        <v>102</v>
      </c>
      <c r="W105">
        <f t="shared" si="1382"/>
        <v>0.7507208477949</v>
      </c>
      <c r="X105">
        <f t="shared" si="1383"/>
        <v>0.79246255881369099</v>
      </c>
      <c r="Y105">
        <f t="shared" si="1384"/>
        <v>-4.174171101879099e-02</v>
      </c>
      <c r="Z105">
        <f t="shared" si="1367"/>
        <v>1.1002814389078199</v>
      </c>
      <c r="AA105">
        <f t="shared" si="1385"/>
        <v>-2.1982535978376898</v>
      </c>
      <c r="AB105">
        <f t="shared" si="1386"/>
        <v>2.1147701758001101</v>
      </c>
      <c r="AD105">
        <f t="shared" si="1390"/>
        <v>102</v>
      </c>
      <c r="AE105">
        <f t="shared" si="1387"/>
        <v>10.618656799718799</v>
      </c>
    </row>
    <row r="106">
      <c r="A106">
        <f t="shared" si="1388"/>
        <v>103</v>
      </c>
      <c r="B106">
        <v>11.369377647513677</v>
      </c>
      <c r="D106">
        <f t="shared" si="1389"/>
        <v>103</v>
      </c>
      <c r="E106">
        <f t="shared" si="1380"/>
        <v>-0.60793542727829897</v>
      </c>
      <c r="F106">
        <f t="shared" si="1391"/>
        <v>-0.32222647232650797</v>
      </c>
      <c r="V106">
        <f t="shared" si="1381"/>
        <v>103</v>
      </c>
      <c r="W106">
        <f t="shared" si="1382"/>
        <v>-0.60793542727829897</v>
      </c>
      <c r="X106">
        <f t="shared" si="1383"/>
        <v>-0.32222647232650797</v>
      </c>
      <c r="Y106">
        <f t="shared" si="1384"/>
        <v>-0.28570895495179099</v>
      </c>
      <c r="Z106">
        <f t="shared" si="1367"/>
        <v>1.1002814389078199</v>
      </c>
      <c r="AA106">
        <f t="shared" si="1385"/>
        <v>-2.4422208417706899</v>
      </c>
      <c r="AB106">
        <f t="shared" si="1386"/>
        <v>1.87080293186711</v>
      </c>
      <c r="AD106">
        <f t="shared" si="1390"/>
        <v>103</v>
      </c>
      <c r="AE106">
        <f t="shared" si="1387"/>
        <v>11.3693776475137</v>
      </c>
    </row>
    <row r="107">
      <c r="A107">
        <f t="shared" si="1388"/>
        <v>104</v>
      </c>
      <c r="B107">
        <v>10.761442220235375</v>
      </c>
      <c r="D107" s="14">
        <f t="shared" si="1389"/>
        <v>104</v>
      </c>
      <c r="E107" s="14">
        <f t="shared" si="1380"/>
        <v>1.1933228352476</v>
      </c>
      <c r="F107" s="14">
        <f t="shared" si="1391"/>
        <v>0.63987539364606805</v>
      </c>
      <c r="V107">
        <f t="shared" si="1381"/>
        <v>104</v>
      </c>
      <c r="W107">
        <f t="shared" si="1382"/>
        <v>1.1933228352476</v>
      </c>
      <c r="X107">
        <f t="shared" si="1383"/>
        <v>0.63987539364606805</v>
      </c>
      <c r="Y107">
        <f t="shared" si="1384"/>
        <v>0.55344744160153203</v>
      </c>
      <c r="Z107">
        <f t="shared" si="1367"/>
        <v>1.1002814389078199</v>
      </c>
      <c r="AA107">
        <f t="shared" si="1385"/>
        <v>-1.6030644452173699</v>
      </c>
      <c r="AB107">
        <f t="shared" si="1386"/>
        <v>2.70995932842043</v>
      </c>
      <c r="AD107">
        <f t="shared" si="1390"/>
        <v>104</v>
      </c>
      <c r="AE107">
        <f t="shared" si="1387"/>
        <v>10.7614422202354</v>
      </c>
    </row>
    <row r="108">
      <c r="A108">
        <f t="shared" si="1388"/>
        <v>105</v>
      </c>
      <c r="B108" s="14">
        <v>11.954765055482961</v>
      </c>
      <c r="V108">
        <f t="shared" ref="V108:V112" si="1392">V107+1</f>
        <v>105</v>
      </c>
      <c r="Y108">
        <f>SUMPRODUCT(W106:W107,I$4:I$5)+SUMPRODUCT(X107,J$5)</f>
        <v>-0.58936143121892604</v>
      </c>
      <c r="Z108" t="e">
        <f t="shared" ref="Z108:Z112" si="1393">J$15*SQRT(SUMSQ(M$15:M15))</f>
        <v>#NAME?</v>
      </c>
      <c r="AA108" t="e">
        <f t="shared" si="1385"/>
        <v>#NAME?</v>
      </c>
      <c r="AB108" t="e">
        <f t="shared" si="1386"/>
        <v>#NAME?</v>
      </c>
      <c r="AD108" s="14">
        <f t="shared" si="1390"/>
        <v>105</v>
      </c>
      <c r="AE108" s="14">
        <f t="shared" si="1387"/>
        <v>11.954765055483</v>
      </c>
    </row>
    <row r="109">
      <c r="V109">
        <f t="shared" si="1392"/>
        <v>106</v>
      </c>
      <c r="Y109">
        <f>SUMPRODUCT(W107,I4)+SUMPRODUCT(Y108,I5)</f>
        <v>0.46754070034277301</v>
      </c>
      <c r="Z109" t="e">
        <f t="shared" si="1393"/>
        <v>#NAME?</v>
      </c>
      <c r="AA109" t="e">
        <f t="shared" si="1385"/>
        <v>#NAME?</v>
      </c>
      <c r="AB109" t="e">
        <f t="shared" si="1386"/>
        <v>#NAME?</v>
      </c>
      <c r="AD109">
        <f t="shared" si="1390"/>
        <v>106</v>
      </c>
      <c r="AE109">
        <f t="shared" ref="AE109:AE113" si="1394">Y108+AE108</f>
        <v>11.365403624264101</v>
      </c>
    </row>
    <row r="110">
      <c r="V110">
        <f t="shared" si="1392"/>
        <v>107</v>
      </c>
      <c r="Y110">
        <f>SUMPRODUCT(Y108:Y109,I4:I5)</f>
        <v>-0.16244246062642001</v>
      </c>
      <c r="Z110" t="e">
        <f t="shared" si="1393"/>
        <v>#NAME?</v>
      </c>
      <c r="AA110" t="e">
        <f t="shared" si="1385"/>
        <v>#NAME?</v>
      </c>
      <c r="AB110" t="e">
        <f t="shared" si="1386"/>
        <v>#NAME?</v>
      </c>
      <c r="AD110">
        <f t="shared" si="1390"/>
        <v>107</v>
      </c>
      <c r="AE110">
        <f t="shared" si="1394"/>
        <v>11.832944324606901</v>
      </c>
    </row>
    <row r="111">
      <c r="V111">
        <f t="shared" si="1392"/>
        <v>108</v>
      </c>
      <c r="Y111">
        <f>SUMPRODUCT(Y109:Y110,I4:I5)</f>
        <v>0.20974639551205101</v>
      </c>
      <c r="Z111" t="e">
        <f t="shared" si="1393"/>
        <v>#NAME?</v>
      </c>
      <c r="AA111" t="e">
        <f t="shared" si="1385"/>
        <v>#NAME?</v>
      </c>
      <c r="AB111" t="e">
        <f t="shared" si="1386"/>
        <v>#NAME?</v>
      </c>
      <c r="AD111">
        <f t="shared" si="1390"/>
        <v>108</v>
      </c>
      <c r="AE111">
        <f t="shared" si="1394"/>
        <v>11.670501863980499</v>
      </c>
    </row>
    <row r="112">
      <c r="V112" s="14">
        <f t="shared" si="1392"/>
        <v>109</v>
      </c>
      <c r="W112" s="14"/>
      <c r="X112" s="14"/>
      <c r="Y112" s="14">
        <f>SUMPRODUCT(Y110:Y111,I4:I5)</f>
        <v>-1.3391760545503999e-02</v>
      </c>
      <c r="Z112" s="14" t="e">
        <f t="shared" si="1393"/>
        <v>#NAME?</v>
      </c>
      <c r="AA112" s="14" t="e">
        <f t="shared" si="1385"/>
        <v>#NAME?</v>
      </c>
      <c r="AB112" s="14" t="e">
        <f t="shared" si="1386"/>
        <v>#NAME?</v>
      </c>
      <c r="AD112">
        <f t="shared" si="1390"/>
        <v>109</v>
      </c>
      <c r="AE112">
        <f t="shared" si="1394"/>
        <v>11.8802482594926</v>
      </c>
    </row>
    <row r="113">
      <c r="AD113" s="14">
        <f t="shared" si="1390"/>
        <v>110</v>
      </c>
      <c r="AE113" s="14">
        <f t="shared" si="1394"/>
        <v>11.866856498947101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  <col customWidth="1" min="3" max="3" width="9.1785709999999998"/>
    <col customWidth="1" min="7" max="7" width="9.1785709999999998"/>
    <col customWidth="1" min="9" max="10" width="9.8125"/>
  </cols>
  <sheetData>
    <row r="1">
      <c r="A1" s="1" t="s">
        <v>589</v>
      </c>
      <c r="D1" t="s">
        <v>578</v>
      </c>
      <c r="H1" t="s">
        <v>475</v>
      </c>
      <c r="L1" t="s">
        <v>476</v>
      </c>
      <c r="P1" t="s">
        <v>477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391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 t="e">
        <f t="shared" ref="E4:E8" si="1395">B5-B4-J$6</f>
        <v>#NAME?</v>
      </c>
      <c r="F4">
        <v>0</v>
      </c>
      <c r="H4" s="15">
        <v>2</v>
      </c>
      <c r="I4" t="e">
        <f>Q6</f>
        <v>#NAME?</v>
      </c>
      <c r="J4">
        <v>0</v>
      </c>
      <c r="L4" t="e">
        <v>#NAME?</v>
      </c>
      <c r="M4" t="e">
        <v>#NAME?</v>
      </c>
      <c r="N4" t="e">
        <v>#NAME?</v>
      </c>
      <c r="P4" t="s">
        <v>494</v>
      </c>
      <c r="Q4" t="e">
        <v>#NAME?</v>
      </c>
      <c r="R4" t="e">
        <v>#NAME?</v>
      </c>
      <c r="S4" t="e">
        <f t="shared" ref="S4:S7" si="1396">Q4/R4</f>
        <v>#NAME?</v>
      </c>
      <c r="T4" t="e">
        <f t="shared" ref="T4:T7" si="1397">TDIST(ABS(S4),J$18-J$10-J$11-1,2)</f>
        <v>#NAME?</v>
      </c>
      <c r="V4">
        <f t="shared" ref="V4:V9" si="1398">D4</f>
        <v>1</v>
      </c>
      <c r="W4" t="e">
        <f t="shared" ref="W4:W9" si="1399">E4</f>
        <v>#NAME?</v>
      </c>
      <c r="X4">
        <f t="shared" ref="X4:X9" si="1400">F4</f>
        <v>0</v>
      </c>
      <c r="Y4" t="e">
        <f t="shared" ref="Y4:Y9" si="1401">W4-X4</f>
        <v>#NAME?</v>
      </c>
      <c r="Z4" t="e">
        <f t="shared" ref="Z4:Z67" si="1402">J$15</f>
        <v>#NAME?</v>
      </c>
      <c r="AA4" t="e">
        <f t="shared" ref="AA4:AA9" si="1403">Y4-NORMSINV(1-Z$2/2)*Z4</f>
        <v>#NAME?</v>
      </c>
      <c r="AB4" t="e">
        <f t="shared" ref="AB4:AB9" si="1404">Y4+NORMSINV(1-Z$2/2)*Z4</f>
        <v>#NAME?</v>
      </c>
      <c r="AD4">
        <v>1</v>
      </c>
      <c r="AE4">
        <f t="shared" ref="AE4:AE9" si="1405">B4</f>
        <v>3.1176756475655401</v>
      </c>
    </row>
    <row r="5">
      <c r="A5">
        <f t="shared" ref="A5:A10" si="1406">A4+1</f>
        <v>2</v>
      </c>
      <c r="B5">
        <v>5.8082510857989273</v>
      </c>
      <c r="D5">
        <f t="shared" ref="D5:D10" si="1407">D4+1</f>
        <v>2</v>
      </c>
      <c r="E5" t="e">
        <f t="shared" si="1395"/>
        <v>#NAME?</v>
      </c>
      <c r="F5">
        <v>0</v>
      </c>
      <c r="H5" s="15">
        <f>H4-1</f>
        <v>1</v>
      </c>
      <c r="I5" t="e">
        <f>Q5</f>
        <v>#NAME?</v>
      </c>
      <c r="J5" t="e">
        <f>Q7</f>
        <v>#NAME?</v>
      </c>
      <c r="L5" s="14" t="e">
        <v>#NAME?</v>
      </c>
      <c r="M5" s="14" t="e">
        <v>#NAME?</v>
      </c>
      <c r="N5" s="14" t="e">
        <v>#NAME?</v>
      </c>
      <c r="P5" t="s">
        <v>488</v>
      </c>
      <c r="Q5" t="e">
        <v>#NAME?</v>
      </c>
      <c r="R5" t="e">
        <v>#NAME?</v>
      </c>
      <c r="S5" t="e">
        <f t="shared" si="1396"/>
        <v>#NAME?</v>
      </c>
      <c r="T5" t="e">
        <f t="shared" si="1397"/>
        <v>#NAME?</v>
      </c>
      <c r="V5">
        <f t="shared" si="1398"/>
        <v>2</v>
      </c>
      <c r="W5" t="e">
        <f t="shared" si="1399"/>
        <v>#NAME?</v>
      </c>
      <c r="X5">
        <f t="shared" si="1400"/>
        <v>0</v>
      </c>
      <c r="Y5" t="e">
        <f t="shared" si="1401"/>
        <v>#NAME?</v>
      </c>
      <c r="Z5" t="e">
        <f t="shared" si="1402"/>
        <v>#NAME?</v>
      </c>
      <c r="AA5" t="e">
        <f t="shared" si="1403"/>
        <v>#NAME?</v>
      </c>
      <c r="AB5" t="e">
        <f t="shared" si="1404"/>
        <v>#NAME?</v>
      </c>
      <c r="AD5">
        <f t="shared" ref="AD5:AD10" si="1408">AD4+1</f>
        <v>2</v>
      </c>
      <c r="AE5">
        <f t="shared" si="1405"/>
        <v>5.80825108579893</v>
      </c>
    </row>
    <row r="6">
      <c r="A6">
        <f t="shared" si="1406"/>
        <v>3</v>
      </c>
      <c r="B6">
        <v>4.9067685983817757</v>
      </c>
      <c r="D6">
        <f t="shared" si="1407"/>
        <v>3</v>
      </c>
      <c r="E6" t="e">
        <f t="shared" si="1395"/>
        <v>#NAME?</v>
      </c>
      <c r="F6" t="e">
        <f t="shared" ref="F6:F9" si="1409">E6-SUMPRODUCT(E4:E5,I$4:I$5)-SUMPRODUCT(F5,J$5)</f>
        <v>#NAME?</v>
      </c>
      <c r="H6" s="17" t="s">
        <v>494</v>
      </c>
      <c r="I6" s="14" t="e">
        <f>Q4</f>
        <v>#NAME?</v>
      </c>
      <c r="J6" s="14" t="e">
        <f>I6/(1-SUM(I4:I5))</f>
        <v>#NAME?</v>
      </c>
      <c r="P6" t="s">
        <v>489</v>
      </c>
      <c r="Q6" t="e">
        <v>#NAME?</v>
      </c>
      <c r="R6" t="e">
        <v>#NAME?</v>
      </c>
      <c r="S6" t="e">
        <f t="shared" si="1396"/>
        <v>#NAME?</v>
      </c>
      <c r="T6" t="e">
        <f t="shared" si="1397"/>
        <v>#NAME?</v>
      </c>
      <c r="V6">
        <f t="shared" si="1398"/>
        <v>3</v>
      </c>
      <c r="W6" t="e">
        <f t="shared" si="1399"/>
        <v>#NAME?</v>
      </c>
      <c r="X6" t="e">
        <f t="shared" si="1400"/>
        <v>#NAME?</v>
      </c>
      <c r="Y6" t="e">
        <f t="shared" si="1401"/>
        <v>#NAME?</v>
      </c>
      <c r="Z6" t="e">
        <f t="shared" si="1402"/>
        <v>#NAME?</v>
      </c>
      <c r="AA6" t="e">
        <f t="shared" si="1403"/>
        <v>#NAME?</v>
      </c>
      <c r="AB6" t="e">
        <f t="shared" si="1404"/>
        <v>#NAME?</v>
      </c>
      <c r="AD6">
        <f t="shared" si="1408"/>
        <v>3</v>
      </c>
      <c r="AE6">
        <f t="shared" si="1405"/>
        <v>4.9067685983817801</v>
      </c>
    </row>
    <row r="7">
      <c r="A7">
        <f t="shared" si="1406"/>
        <v>4</v>
      </c>
      <c r="B7">
        <v>6.1194744822602418</v>
      </c>
      <c r="D7">
        <f t="shared" si="1407"/>
        <v>4</v>
      </c>
      <c r="E7" t="e">
        <f t="shared" si="1395"/>
        <v>#NAME?</v>
      </c>
      <c r="F7" t="e">
        <f t="shared" si="1409"/>
        <v>#NAME?</v>
      </c>
      <c r="L7" t="s">
        <v>495</v>
      </c>
      <c r="P7" s="14" t="s">
        <v>581</v>
      </c>
      <c r="Q7" s="14" t="e">
        <v>#NAME?</v>
      </c>
      <c r="R7" s="14" t="e">
        <v>#NAME?</v>
      </c>
      <c r="S7" s="14" t="e">
        <f t="shared" si="1396"/>
        <v>#NAME?</v>
      </c>
      <c r="T7" s="14" t="e">
        <f t="shared" si="1397"/>
        <v>#NAME?</v>
      </c>
      <c r="V7">
        <f t="shared" si="1398"/>
        <v>4</v>
      </c>
      <c r="W7" t="e">
        <f t="shared" si="1399"/>
        <v>#NAME?</v>
      </c>
      <c r="X7" t="e">
        <f t="shared" si="1400"/>
        <v>#NAME?</v>
      </c>
      <c r="Y7" t="e">
        <f t="shared" si="1401"/>
        <v>#NAME?</v>
      </c>
      <c r="Z7" t="e">
        <f t="shared" si="1402"/>
        <v>#NAME?</v>
      </c>
      <c r="AA7" t="e">
        <f t="shared" si="1403"/>
        <v>#NAME?</v>
      </c>
      <c r="AB7" t="e">
        <f t="shared" si="1404"/>
        <v>#NAME?</v>
      </c>
      <c r="AD7">
        <f t="shared" si="1408"/>
        <v>4</v>
      </c>
      <c r="AE7">
        <f t="shared" si="1405"/>
        <v>6.11947448226024</v>
      </c>
    </row>
    <row r="8">
      <c r="A8">
        <f t="shared" si="1406"/>
        <v>5</v>
      </c>
      <c r="B8">
        <v>8.1353263117657075</v>
      </c>
      <c r="D8">
        <f t="shared" si="1407"/>
        <v>5</v>
      </c>
      <c r="E8" t="e">
        <f t="shared" si="1395"/>
        <v>#NAME?</v>
      </c>
      <c r="F8" t="e">
        <f t="shared" si="1409"/>
        <v>#NAME?</v>
      </c>
      <c r="I8" t="s">
        <v>464</v>
      </c>
      <c r="J8" s="18" t="e">
        <f>SUMSQ(F6:F107)</f>
        <v>#NAME?</v>
      </c>
      <c r="V8">
        <f t="shared" si="1398"/>
        <v>5</v>
      </c>
      <c r="W8" t="e">
        <f t="shared" si="1399"/>
        <v>#NAME?</v>
      </c>
      <c r="X8" t="e">
        <f t="shared" si="1400"/>
        <v>#NAME?</v>
      </c>
      <c r="Y8" t="e">
        <f t="shared" si="1401"/>
        <v>#NAME?</v>
      </c>
      <c r="Z8" t="e">
        <f t="shared" si="1402"/>
        <v>#NAME?</v>
      </c>
      <c r="AA8" t="e">
        <f t="shared" si="1403"/>
        <v>#NAME?</v>
      </c>
      <c r="AB8" t="e">
        <f t="shared" si="1404"/>
        <v>#NAME?</v>
      </c>
      <c r="AD8">
        <f t="shared" si="1408"/>
        <v>5</v>
      </c>
      <c r="AE8">
        <f t="shared" si="1405"/>
        <v>8.1353263117657093</v>
      </c>
    </row>
    <row r="9">
      <c r="A9">
        <f t="shared" si="1406"/>
        <v>6</v>
      </c>
      <c r="B9">
        <v>9.3448674266459744</v>
      </c>
      <c r="D9">
        <f t="shared" si="1407"/>
        <v>6</v>
      </c>
      <c r="E9" t="e">
        <f>B10-B9-J$6</f>
        <v>#NAME?</v>
      </c>
      <c r="F9" t="e">
        <f t="shared" si="1409"/>
        <v>#NAME?</v>
      </c>
      <c r="L9" s="24" t="s">
        <v>469</v>
      </c>
      <c r="M9" s="24" t="s">
        <v>470</v>
      </c>
      <c r="N9" s="24" t="s">
        <v>484</v>
      </c>
      <c r="P9" t="e">
        <v>#NAME?</v>
      </c>
      <c r="Q9" t="e">
        <v>#NAME?</v>
      </c>
      <c r="R9" t="e">
        <v>#NAME?</v>
      </c>
      <c r="S9" t="e">
        <v>#NAME?</v>
      </c>
      <c r="T9" t="e">
        <v>#NAME?</v>
      </c>
      <c r="V9">
        <f t="shared" si="1398"/>
        <v>6</v>
      </c>
      <c r="W9" t="e">
        <f t="shared" si="1399"/>
        <v>#NAME?</v>
      </c>
      <c r="X9" t="e">
        <f t="shared" si="1400"/>
        <v>#NAME?</v>
      </c>
      <c r="Y9" t="e">
        <f t="shared" si="1401"/>
        <v>#NAME?</v>
      </c>
      <c r="Z9" t="e">
        <f t="shared" si="1402"/>
        <v>#NAME?</v>
      </c>
      <c r="AA9" t="e">
        <f t="shared" si="1403"/>
        <v>#NAME?</v>
      </c>
      <c r="AB9" t="e">
        <f t="shared" si="1404"/>
        <v>#NAME?</v>
      </c>
      <c r="AD9">
        <f t="shared" si="1408"/>
        <v>6</v>
      </c>
      <c r="AE9">
        <f t="shared" si="1405"/>
        <v>9.3448674266459797</v>
      </c>
    </row>
    <row r="10">
      <c r="A10">
        <f t="shared" si="1406"/>
        <v>7</v>
      </c>
      <c r="B10">
        <v>9.1476506838871607</v>
      </c>
      <c r="D10">
        <f t="shared" si="1407"/>
        <v>7</v>
      </c>
      <c r="E10" t="e">
        <f t="shared" ref="E10:E73" si="1410">B11-B10-J$6</f>
        <v>#NAME?</v>
      </c>
      <c r="F10" t="e">
        <f>E10-SUMPRODUCT(E8:E9,I$4:I$5)-SUMPRODUCT(F9,J$5)</f>
        <v>#NAME?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P10" t="e">
        <v>#NAME?</v>
      </c>
      <c r="Q10" s="5" t="e">
        <v>#NAME?</v>
      </c>
      <c r="R10" s="42" t="e">
        <v>#NAME?</v>
      </c>
      <c r="S10" s="42" t="e">
        <v>#NAME?</v>
      </c>
      <c r="T10" s="6" t="e">
        <v>#NAME?</v>
      </c>
      <c r="V10">
        <f t="shared" ref="V10:V73" si="1411">D10</f>
        <v>7</v>
      </c>
      <c r="W10" t="e">
        <f t="shared" ref="W10:W73" si="1412">E10</f>
        <v>#NAME?</v>
      </c>
      <c r="X10" t="e">
        <f t="shared" ref="X10:X73" si="1413">F10</f>
        <v>#NAME?</v>
      </c>
      <c r="Y10" t="e">
        <f t="shared" ref="Y10:Y73" si="1414">W10-X10</f>
        <v>#NAME?</v>
      </c>
      <c r="Z10" t="e">
        <f t="shared" si="1402"/>
        <v>#NAME?</v>
      </c>
      <c r="AA10" t="e">
        <f t="shared" ref="AA10:AA73" si="1415">Y10-NORMSINV(1-Z$2/2)*Z10</f>
        <v>#NAME?</v>
      </c>
      <c r="AB10" t="e">
        <f t="shared" ref="AB10:AB73" si="1416">Y10+NORMSINV(1-Z$2/2)*Z10</f>
        <v>#NAME?</v>
      </c>
      <c r="AD10">
        <f t="shared" si="1408"/>
        <v>7</v>
      </c>
      <c r="AE10">
        <f t="shared" ref="AE10:AE73" si="1417">B10</f>
        <v>9.1476506838871607</v>
      </c>
    </row>
    <row r="11">
      <c r="A11">
        <f t="shared" ref="A11:A74" si="1418">A10+1</f>
        <v>8</v>
      </c>
      <c r="B11">
        <v>8.101493281302977</v>
      </c>
      <c r="D11">
        <f t="shared" ref="D11:D74" si="1419">D10+1</f>
        <v>8</v>
      </c>
      <c r="E11" t="e">
        <f t="shared" si="1410"/>
        <v>#NAME?</v>
      </c>
      <c r="F11" t="e">
        <f>E11-SUMPRODUCT(E9:E10,I$4:I$5)-SUMPRODUCT(F10,J$5)</f>
        <v>#NAME?</v>
      </c>
      <c r="I11" t="s">
        <v>498</v>
      </c>
      <c r="J11" s="10">
        <v>1</v>
      </c>
      <c r="P11" t="e">
        <v>#NAME?</v>
      </c>
      <c r="Q11" s="8" t="e">
        <v>#NAME?</v>
      </c>
      <c r="R11" t="e">
        <v>#NAME?</v>
      </c>
      <c r="S11" t="e">
        <v>#NAME?</v>
      </c>
      <c r="T11" s="9" t="e">
        <v>#NAME?</v>
      </c>
      <c r="V11">
        <f t="shared" si="1411"/>
        <v>8</v>
      </c>
      <c r="W11" t="e">
        <f t="shared" si="1412"/>
        <v>#NAME?</v>
      </c>
      <c r="X11" t="e">
        <f t="shared" si="1413"/>
        <v>#NAME?</v>
      </c>
      <c r="Y11" t="e">
        <f t="shared" si="1414"/>
        <v>#NAME?</v>
      </c>
      <c r="Z11" t="e">
        <f t="shared" si="1402"/>
        <v>#NAME?</v>
      </c>
      <c r="AA11" t="e">
        <f t="shared" si="1415"/>
        <v>#NAME?</v>
      </c>
      <c r="AB11" t="e">
        <f t="shared" si="1416"/>
        <v>#NAME?</v>
      </c>
      <c r="AD11">
        <f t="shared" ref="AD11:AD74" si="1420">AD10+1</f>
        <v>8</v>
      </c>
      <c r="AE11">
        <f t="shared" si="1417"/>
        <v>8.1014932813029805</v>
      </c>
    </row>
    <row r="12">
      <c r="A12">
        <f t="shared" si="1418"/>
        <v>9</v>
      </c>
      <c r="B12">
        <v>10.146419029172929</v>
      </c>
      <c r="D12">
        <f t="shared" si="1419"/>
        <v>9</v>
      </c>
      <c r="E12" t="e">
        <f t="shared" si="1410"/>
        <v>#NAME?</v>
      </c>
      <c r="F12" t="e">
        <f t="shared" ref="F12:F75" si="1421">E12-SUMPRODUCT(E10:E11,I$4:I$5)-SUMPRODUCT(F11,J$5)</f>
        <v>#NAME?</v>
      </c>
      <c r="I12" t="s">
        <v>181</v>
      </c>
      <c r="J12" s="10">
        <v>1</v>
      </c>
      <c r="L12" t="s">
        <v>499</v>
      </c>
      <c r="P12" t="e">
        <v>#NAME?</v>
      </c>
      <c r="Q12" s="8" t="e">
        <v>#NAME?</v>
      </c>
      <c r="R12" t="e">
        <v>#NAME?</v>
      </c>
      <c r="S12" t="e">
        <v>#NAME?</v>
      </c>
      <c r="T12" s="9" t="e">
        <v>#NAME?</v>
      </c>
      <c r="V12">
        <f t="shared" si="1411"/>
        <v>9</v>
      </c>
      <c r="W12" t="e">
        <f t="shared" si="1412"/>
        <v>#NAME?</v>
      </c>
      <c r="X12" t="e">
        <f t="shared" si="1413"/>
        <v>#NAME?</v>
      </c>
      <c r="Y12" t="e">
        <f t="shared" si="1414"/>
        <v>#NAME?</v>
      </c>
      <c r="Z12" t="e">
        <f t="shared" si="1402"/>
        <v>#NAME?</v>
      </c>
      <c r="AA12" t="e">
        <f t="shared" si="1415"/>
        <v>#NAME?</v>
      </c>
      <c r="AB12" t="e">
        <f t="shared" si="1416"/>
        <v>#NAME?</v>
      </c>
      <c r="AD12">
        <f t="shared" si="1420"/>
        <v>9</v>
      </c>
      <c r="AE12">
        <f t="shared" si="1417"/>
        <v>10.1464190291729</v>
      </c>
    </row>
    <row r="13">
      <c r="A13">
        <f t="shared" si="1418"/>
        <v>10</v>
      </c>
      <c r="B13">
        <v>11.045196349004179</v>
      </c>
      <c r="D13">
        <f t="shared" si="1419"/>
        <v>10</v>
      </c>
      <c r="E13" t="e">
        <f t="shared" si="1410"/>
        <v>#NAME?</v>
      </c>
      <c r="F13" t="e">
        <f t="shared" si="1421"/>
        <v>#NAME?</v>
      </c>
      <c r="I13" t="s">
        <v>500</v>
      </c>
      <c r="J13" s="10" t="e">
        <f>AVERAGE(F6:F107)</f>
        <v>#NAME?</v>
      </c>
      <c r="P13" t="e">
        <v>#NAME?</v>
      </c>
      <c r="Q13" s="11" t="e">
        <v>#NAME?</v>
      </c>
      <c r="R13" s="14" t="e">
        <v>#NAME?</v>
      </c>
      <c r="S13" s="14" t="e">
        <v>#NAME?</v>
      </c>
      <c r="T13" s="12" t="e">
        <v>#NAME?</v>
      </c>
      <c r="V13">
        <f t="shared" si="1411"/>
        <v>10</v>
      </c>
      <c r="W13" t="e">
        <f t="shared" si="1412"/>
        <v>#NAME?</v>
      </c>
      <c r="X13" t="e">
        <f t="shared" si="1413"/>
        <v>#NAME?</v>
      </c>
      <c r="Y13" t="e">
        <f t="shared" si="1414"/>
        <v>#NAME?</v>
      </c>
      <c r="Z13" t="e">
        <f t="shared" si="1402"/>
        <v>#NAME?</v>
      </c>
      <c r="AA13" t="e">
        <f t="shared" si="1415"/>
        <v>#NAME?</v>
      </c>
      <c r="AB13" t="e">
        <f t="shared" si="1416"/>
        <v>#NAME?</v>
      </c>
      <c r="AD13">
        <f t="shared" si="1420"/>
        <v>10</v>
      </c>
      <c r="AE13">
        <f t="shared" si="1417"/>
        <v>11.0451963490042</v>
      </c>
    </row>
    <row r="14">
      <c r="A14">
        <f t="shared" si="1418"/>
        <v>11</v>
      </c>
      <c r="B14">
        <v>10.122578080182986</v>
      </c>
      <c r="D14">
        <f t="shared" si="1419"/>
        <v>11</v>
      </c>
      <c r="E14" t="e">
        <f t="shared" si="1410"/>
        <v>#NAME?</v>
      </c>
      <c r="F14" t="e">
        <f t="shared" si="1421"/>
        <v>#NAME?</v>
      </c>
      <c r="I14" t="s">
        <v>502</v>
      </c>
      <c r="J14" s="10" t="e">
        <f>STDEV(F6:F107)</f>
        <v>#NAME?</v>
      </c>
      <c r="L14" s="24" t="s">
        <v>481</v>
      </c>
      <c r="M14" s="24" t="s">
        <v>501</v>
      </c>
      <c r="V14">
        <f t="shared" si="1411"/>
        <v>11</v>
      </c>
      <c r="W14" t="e">
        <f t="shared" si="1412"/>
        <v>#NAME?</v>
      </c>
      <c r="X14" t="e">
        <f t="shared" si="1413"/>
        <v>#NAME?</v>
      </c>
      <c r="Y14" t="e">
        <f t="shared" si="1414"/>
        <v>#NAME?</v>
      </c>
      <c r="Z14" t="e">
        <f t="shared" si="1402"/>
        <v>#NAME?</v>
      </c>
      <c r="AA14" t="e">
        <f t="shared" si="1415"/>
        <v>#NAME?</v>
      </c>
      <c r="AB14" t="e">
        <f t="shared" si="1416"/>
        <v>#NAME?</v>
      </c>
      <c r="AD14">
        <f t="shared" si="1420"/>
        <v>11</v>
      </c>
      <c r="AE14">
        <f t="shared" si="1417"/>
        <v>10.122578080183001</v>
      </c>
    </row>
    <row r="15">
      <c r="A15">
        <f t="shared" si="1418"/>
        <v>12</v>
      </c>
      <c r="B15">
        <v>10.173602244452049</v>
      </c>
      <c r="D15">
        <f t="shared" si="1419"/>
        <v>12</v>
      </c>
      <c r="E15" t="e">
        <f t="shared" si="1410"/>
        <v>#NAME?</v>
      </c>
      <c r="F15" t="e">
        <f t="shared" si="1421"/>
        <v>#NAME?</v>
      </c>
      <c r="I15" t="s">
        <v>503</v>
      </c>
      <c r="J15" s="10" t="e">
        <f>SQRT(J8/J18)</f>
        <v>#NAME?</v>
      </c>
      <c r="L15" s="42">
        <v>0</v>
      </c>
      <c r="M15" s="42" t="e">
        <v>#NAME?</v>
      </c>
      <c r="P15" t="e">
        <v>#NAME?</v>
      </c>
      <c r="Q15" s="7" t="e">
        <v>#NAME?</v>
      </c>
      <c r="V15">
        <f t="shared" si="1411"/>
        <v>12</v>
      </c>
      <c r="W15" t="e">
        <f t="shared" si="1412"/>
        <v>#NAME?</v>
      </c>
      <c r="X15" t="e">
        <f t="shared" si="1413"/>
        <v>#NAME?</v>
      </c>
      <c r="Y15" t="e">
        <f t="shared" si="1414"/>
        <v>#NAME?</v>
      </c>
      <c r="Z15" t="e">
        <f t="shared" si="1402"/>
        <v>#NAME?</v>
      </c>
      <c r="AA15" t="e">
        <f t="shared" si="1415"/>
        <v>#NAME?</v>
      </c>
      <c r="AB15" t="e">
        <f t="shared" si="1416"/>
        <v>#NAME?</v>
      </c>
      <c r="AD15">
        <f t="shared" si="1420"/>
        <v>12</v>
      </c>
      <c r="AE15">
        <f t="shared" si="1417"/>
        <v>10.1736022444521</v>
      </c>
    </row>
    <row r="16">
      <c r="A16">
        <f t="shared" si="1418"/>
        <v>13</v>
      </c>
      <c r="B16">
        <v>10.821309800892813</v>
      </c>
      <c r="D16">
        <f t="shared" si="1419"/>
        <v>13</v>
      </c>
      <c r="E16" t="e">
        <f t="shared" si="1410"/>
        <v>#NAME?</v>
      </c>
      <c r="F16" t="e">
        <f t="shared" si="1421"/>
        <v>#NAME?</v>
      </c>
      <c r="I16" t="s">
        <v>504</v>
      </c>
      <c r="J16" s="10" t="e">
        <f>AVERAGE(E6:E107)</f>
        <v>#NAME?</v>
      </c>
      <c r="L16">
        <f t="shared" ref="L16:L19" si="1422">L15+1</f>
        <v>1</v>
      </c>
      <c r="M16" t="e">
        <v>#NAME?</v>
      </c>
      <c r="P16" t="e">
        <v>#NAME?</v>
      </c>
      <c r="Q16" s="10" t="e">
        <v>#NAME?</v>
      </c>
      <c r="V16">
        <f t="shared" si="1411"/>
        <v>13</v>
      </c>
      <c r="W16" t="e">
        <f t="shared" si="1412"/>
        <v>#NAME?</v>
      </c>
      <c r="X16" t="e">
        <f t="shared" si="1413"/>
        <v>#NAME?</v>
      </c>
      <c r="Y16" t="e">
        <f t="shared" si="1414"/>
        <v>#NAME?</v>
      </c>
      <c r="Z16" t="e">
        <f t="shared" si="1402"/>
        <v>#NAME?</v>
      </c>
      <c r="AA16" t="e">
        <f t="shared" si="1415"/>
        <v>#NAME?</v>
      </c>
      <c r="AB16" t="e">
        <f t="shared" si="1416"/>
        <v>#NAME?</v>
      </c>
      <c r="AD16">
        <f t="shared" si="1420"/>
        <v>13</v>
      </c>
      <c r="AE16">
        <f t="shared" si="1417"/>
        <v>10.8213098008928</v>
      </c>
    </row>
    <row r="17">
      <c r="A17">
        <f t="shared" si="1418"/>
        <v>14</v>
      </c>
      <c r="B17">
        <v>10.084063249573955</v>
      </c>
      <c r="D17">
        <f t="shared" si="1419"/>
        <v>14</v>
      </c>
      <c r="E17" t="e">
        <f t="shared" si="1410"/>
        <v>#NAME?</v>
      </c>
      <c r="F17" t="e">
        <f t="shared" si="1421"/>
        <v>#NAME?</v>
      </c>
      <c r="I17" t="s">
        <v>505</v>
      </c>
      <c r="J17" s="10" t="e">
        <f>STDEV(E6:E107)</f>
        <v>#NAME?</v>
      </c>
      <c r="L17">
        <f t="shared" si="1422"/>
        <v>2</v>
      </c>
      <c r="M17" t="e">
        <v>#NAME?</v>
      </c>
      <c r="P17" t="e">
        <v>#NAME?</v>
      </c>
      <c r="Q17" s="10" t="e">
        <v>#NAME?</v>
      </c>
      <c r="V17">
        <f t="shared" si="1411"/>
        <v>14</v>
      </c>
      <c r="W17" t="e">
        <f t="shared" si="1412"/>
        <v>#NAME?</v>
      </c>
      <c r="X17" t="e">
        <f t="shared" si="1413"/>
        <v>#NAME?</v>
      </c>
      <c r="Y17" t="e">
        <f t="shared" si="1414"/>
        <v>#NAME?</v>
      </c>
      <c r="Z17" t="e">
        <f t="shared" si="1402"/>
        <v>#NAME?</v>
      </c>
      <c r="AA17" t="e">
        <f t="shared" si="1415"/>
        <v>#NAME?</v>
      </c>
      <c r="AB17" t="e">
        <f t="shared" si="1416"/>
        <v>#NAME?</v>
      </c>
      <c r="AD17">
        <f t="shared" si="1420"/>
        <v>14</v>
      </c>
      <c r="AE17">
        <f t="shared" si="1417"/>
        <v>10.084063249573999</v>
      </c>
    </row>
    <row r="18">
      <c r="A18">
        <f t="shared" si="1418"/>
        <v>15</v>
      </c>
      <c r="B18">
        <v>10.346054055555475</v>
      </c>
      <c r="D18">
        <f t="shared" si="1419"/>
        <v>15</v>
      </c>
      <c r="E18" t="e">
        <f t="shared" si="1410"/>
        <v>#NAME?</v>
      </c>
      <c r="F18" t="e">
        <f t="shared" si="1421"/>
        <v>#NAME?</v>
      </c>
      <c r="I18" t="s">
        <v>506</v>
      </c>
      <c r="J18" s="13">
        <f>COUNT(E6:E107)</f>
        <v>0</v>
      </c>
      <c r="L18">
        <f t="shared" si="1422"/>
        <v>3</v>
      </c>
      <c r="M18" t="e">
        <v>#NAME?</v>
      </c>
      <c r="P18" t="e">
        <v>#NAME?</v>
      </c>
      <c r="Q18" s="10" t="e">
        <v>#NAME?</v>
      </c>
      <c r="V18">
        <f t="shared" si="1411"/>
        <v>15</v>
      </c>
      <c r="W18" t="e">
        <f t="shared" si="1412"/>
        <v>#NAME?</v>
      </c>
      <c r="X18" t="e">
        <f t="shared" si="1413"/>
        <v>#NAME?</v>
      </c>
      <c r="Y18" t="e">
        <f t="shared" si="1414"/>
        <v>#NAME?</v>
      </c>
      <c r="Z18" t="e">
        <f t="shared" si="1402"/>
        <v>#NAME?</v>
      </c>
      <c r="AA18" t="e">
        <f t="shared" si="1415"/>
        <v>#NAME?</v>
      </c>
      <c r="AB18" t="e">
        <f t="shared" si="1416"/>
        <v>#NAME?</v>
      </c>
      <c r="AD18">
        <f t="shared" si="1420"/>
        <v>15</v>
      </c>
      <c r="AE18">
        <f t="shared" si="1417"/>
        <v>10.3460540555555</v>
      </c>
    </row>
    <row r="19">
      <c r="A19">
        <f t="shared" si="1418"/>
        <v>16</v>
      </c>
      <c r="B19">
        <v>9.6922029393025948</v>
      </c>
      <c r="D19">
        <f t="shared" si="1419"/>
        <v>16</v>
      </c>
      <c r="E19" t="e">
        <f t="shared" si="1410"/>
        <v>#NAME?</v>
      </c>
      <c r="F19" t="e">
        <f t="shared" si="1421"/>
        <v>#NAME?</v>
      </c>
      <c r="L19" s="14">
        <f t="shared" si="1422"/>
        <v>4</v>
      </c>
      <c r="M19" s="14" t="e">
        <v>#NAME?</v>
      </c>
      <c r="P19" t="e">
        <v>#NAME?</v>
      </c>
      <c r="Q19" s="10" t="e">
        <v>#NAME?</v>
      </c>
      <c r="V19">
        <f t="shared" si="1411"/>
        <v>16</v>
      </c>
      <c r="W19" t="e">
        <f t="shared" si="1412"/>
        <v>#NAME?</v>
      </c>
      <c r="X19" t="e">
        <f t="shared" si="1413"/>
        <v>#NAME?</v>
      </c>
      <c r="Y19" t="e">
        <f t="shared" si="1414"/>
        <v>#NAME?</v>
      </c>
      <c r="Z19" t="e">
        <f t="shared" si="1402"/>
        <v>#NAME?</v>
      </c>
      <c r="AA19" t="e">
        <f t="shared" si="1415"/>
        <v>#NAME?</v>
      </c>
      <c r="AB19" t="e">
        <f t="shared" si="1416"/>
        <v>#NAME?</v>
      </c>
      <c r="AD19">
        <f t="shared" si="1420"/>
        <v>16</v>
      </c>
      <c r="AE19">
        <f t="shared" si="1417"/>
        <v>9.6922029393026001</v>
      </c>
    </row>
    <row r="20">
      <c r="A20">
        <f t="shared" si="1418"/>
        <v>17</v>
      </c>
      <c r="B20">
        <v>11.205574770625869</v>
      </c>
      <c r="D20">
        <f t="shared" si="1419"/>
        <v>17</v>
      </c>
      <c r="E20" t="e">
        <f t="shared" si="1410"/>
        <v>#NAME?</v>
      </c>
      <c r="F20" t="e">
        <f t="shared" si="1421"/>
        <v>#NAME?</v>
      </c>
      <c r="I20" t="s">
        <v>507</v>
      </c>
      <c r="J20" s="7" t="e">
        <f>-(J23-2*(J10+J11+2))/2</f>
        <v>#NAME?</v>
      </c>
      <c r="P20" t="e">
        <v>#NAME?</v>
      </c>
      <c r="Q20" s="10" t="e">
        <v>#NAME?</v>
      </c>
      <c r="V20">
        <f t="shared" si="1411"/>
        <v>17</v>
      </c>
      <c r="W20" t="e">
        <f t="shared" si="1412"/>
        <v>#NAME?</v>
      </c>
      <c r="X20" t="e">
        <f t="shared" si="1413"/>
        <v>#NAME?</v>
      </c>
      <c r="Y20" t="e">
        <f t="shared" si="1414"/>
        <v>#NAME?</v>
      </c>
      <c r="Z20" t="e">
        <f t="shared" si="1402"/>
        <v>#NAME?</v>
      </c>
      <c r="AA20" t="e">
        <f t="shared" si="1415"/>
        <v>#NAME?</v>
      </c>
      <c r="AB20" t="e">
        <f t="shared" si="1416"/>
        <v>#NAME?</v>
      </c>
      <c r="AD20">
        <f t="shared" si="1420"/>
        <v>17</v>
      </c>
      <c r="AE20">
        <f t="shared" si="1417"/>
        <v>11.205574770625899</v>
      </c>
    </row>
    <row r="21">
      <c r="A21">
        <f t="shared" si="1418"/>
        <v>18</v>
      </c>
      <c r="B21">
        <v>12.652116416514845</v>
      </c>
      <c r="D21">
        <f t="shared" si="1419"/>
        <v>18</v>
      </c>
      <c r="E21" t="e">
        <f t="shared" si="1410"/>
        <v>#NAME?</v>
      </c>
      <c r="F21" t="e">
        <f t="shared" si="1421"/>
        <v>#NAME?</v>
      </c>
      <c r="I21" t="s">
        <v>374</v>
      </c>
      <c r="J21" s="10" t="e">
        <f>J18*LN(J8/J18)+2*(J10+J11+2)</f>
        <v>#NAME?</v>
      </c>
      <c r="P21" t="e">
        <v>#NAME?</v>
      </c>
      <c r="Q21" s="13" t="e">
        <v>#NAME?</v>
      </c>
      <c r="V21">
        <f t="shared" si="1411"/>
        <v>18</v>
      </c>
      <c r="W21" t="e">
        <f t="shared" si="1412"/>
        <v>#NAME?</v>
      </c>
      <c r="X21" t="e">
        <f t="shared" si="1413"/>
        <v>#NAME?</v>
      </c>
      <c r="Y21" t="e">
        <f t="shared" si="1414"/>
        <v>#NAME?</v>
      </c>
      <c r="Z21" t="e">
        <f t="shared" si="1402"/>
        <v>#NAME?</v>
      </c>
      <c r="AA21" t="e">
        <f t="shared" si="1415"/>
        <v>#NAME?</v>
      </c>
      <c r="AB21" t="e">
        <f t="shared" si="1416"/>
        <v>#NAME?</v>
      </c>
      <c r="AD21">
        <f t="shared" si="1420"/>
        <v>18</v>
      </c>
      <c r="AE21">
        <f t="shared" si="1417"/>
        <v>12.652116416514801</v>
      </c>
    </row>
    <row r="22">
      <c r="A22">
        <f t="shared" si="1418"/>
        <v>19</v>
      </c>
      <c r="B22">
        <v>13.406329168635398</v>
      </c>
      <c r="D22">
        <f t="shared" si="1419"/>
        <v>19</v>
      </c>
      <c r="E22" t="e">
        <f t="shared" si="1410"/>
        <v>#NAME?</v>
      </c>
      <c r="F22" t="e">
        <f t="shared" si="1421"/>
        <v>#NAME?</v>
      </c>
      <c r="I22" t="s">
        <v>508</v>
      </c>
      <c r="J22" s="10" t="e">
        <f>J18*LN(J8/J18)+LN(J18)*(J10+J11+2)</f>
        <v>#NAME?</v>
      </c>
      <c r="V22">
        <f t="shared" si="1411"/>
        <v>19</v>
      </c>
      <c r="W22" t="e">
        <f t="shared" si="1412"/>
        <v>#NAME?</v>
      </c>
      <c r="X22" t="e">
        <f t="shared" si="1413"/>
        <v>#NAME?</v>
      </c>
      <c r="Y22" t="e">
        <f t="shared" si="1414"/>
        <v>#NAME?</v>
      </c>
      <c r="Z22" t="e">
        <f t="shared" si="1402"/>
        <v>#NAME?</v>
      </c>
      <c r="AA22" t="e">
        <f t="shared" si="1415"/>
        <v>#NAME?</v>
      </c>
      <c r="AB22" t="e">
        <f t="shared" si="1416"/>
        <v>#NAME?</v>
      </c>
      <c r="AD22">
        <f t="shared" si="1420"/>
        <v>19</v>
      </c>
      <c r="AE22">
        <f t="shared" si="1417"/>
        <v>13.4063291686354</v>
      </c>
    </row>
    <row r="23">
      <c r="A23">
        <f t="shared" si="1418"/>
        <v>20</v>
      </c>
      <c r="B23">
        <v>12.231217930183975</v>
      </c>
      <c r="D23">
        <f t="shared" si="1419"/>
        <v>20</v>
      </c>
      <c r="E23" t="e">
        <f t="shared" si="1410"/>
        <v>#NAME?</v>
      </c>
      <c r="F23" t="e">
        <f t="shared" si="1421"/>
        <v>#NAME?</v>
      </c>
      <c r="I23" t="s">
        <v>509</v>
      </c>
      <c r="J23" s="10" t="e">
        <f>J18*(1+LN(2*PI()))+J21</f>
        <v>#NAME?</v>
      </c>
      <c r="V23">
        <f t="shared" si="1411"/>
        <v>20</v>
      </c>
      <c r="W23" t="e">
        <f t="shared" si="1412"/>
        <v>#NAME?</v>
      </c>
      <c r="X23" t="e">
        <f t="shared" si="1413"/>
        <v>#NAME?</v>
      </c>
      <c r="Y23" t="e">
        <f t="shared" si="1414"/>
        <v>#NAME?</v>
      </c>
      <c r="Z23" t="e">
        <f t="shared" si="1402"/>
        <v>#NAME?</v>
      </c>
      <c r="AA23" t="e">
        <f t="shared" si="1415"/>
        <v>#NAME?</v>
      </c>
      <c r="AB23" t="e">
        <f t="shared" si="1416"/>
        <v>#NAME?</v>
      </c>
      <c r="AD23">
        <f t="shared" si="1420"/>
        <v>20</v>
      </c>
      <c r="AE23">
        <f t="shared" si="1417"/>
        <v>12.231217930184</v>
      </c>
    </row>
    <row r="24">
      <c r="A24">
        <f t="shared" si="1418"/>
        <v>21</v>
      </c>
      <c r="B24">
        <v>12.116974455959236</v>
      </c>
      <c r="D24">
        <f t="shared" si="1419"/>
        <v>21</v>
      </c>
      <c r="E24" t="e">
        <f t="shared" si="1410"/>
        <v>#NAME?</v>
      </c>
      <c r="F24" t="e">
        <f t="shared" si="1421"/>
        <v>#NAME?</v>
      </c>
      <c r="I24" t="s">
        <v>510</v>
      </c>
      <c r="J24" s="13" t="e">
        <f>J18*(1+LN(2*PI()))+J22</f>
        <v>#NAME?</v>
      </c>
      <c r="V24">
        <f t="shared" si="1411"/>
        <v>21</v>
      </c>
      <c r="W24" t="e">
        <f t="shared" si="1412"/>
        <v>#NAME?</v>
      </c>
      <c r="X24" t="e">
        <f t="shared" si="1413"/>
        <v>#NAME?</v>
      </c>
      <c r="Y24" t="e">
        <f t="shared" si="1414"/>
        <v>#NAME?</v>
      </c>
      <c r="Z24" t="e">
        <f t="shared" si="1402"/>
        <v>#NAME?</v>
      </c>
      <c r="AA24" t="e">
        <f t="shared" si="1415"/>
        <v>#NAME?</v>
      </c>
      <c r="AB24" t="e">
        <f t="shared" si="1416"/>
        <v>#NAME?</v>
      </c>
      <c r="AD24">
        <f t="shared" si="1420"/>
        <v>21</v>
      </c>
      <c r="AE24">
        <f t="shared" si="1417"/>
        <v>12.1169744559592</v>
      </c>
    </row>
    <row r="25">
      <c r="A25">
        <f t="shared" si="1418"/>
        <v>22</v>
      </c>
      <c r="B25">
        <v>10.45988889436091</v>
      </c>
      <c r="D25">
        <f t="shared" si="1419"/>
        <v>22</v>
      </c>
      <c r="E25" t="e">
        <f t="shared" si="1410"/>
        <v>#NAME?</v>
      </c>
      <c r="F25" t="e">
        <f t="shared" si="1421"/>
        <v>#NAME?</v>
      </c>
      <c r="V25">
        <f t="shared" si="1411"/>
        <v>22</v>
      </c>
      <c r="W25" t="e">
        <f t="shared" si="1412"/>
        <v>#NAME?</v>
      </c>
      <c r="X25" t="e">
        <f t="shared" si="1413"/>
        <v>#NAME?</v>
      </c>
      <c r="Y25" t="e">
        <f t="shared" si="1414"/>
        <v>#NAME?</v>
      </c>
      <c r="Z25" t="e">
        <f t="shared" si="1402"/>
        <v>#NAME?</v>
      </c>
      <c r="AA25" t="e">
        <f t="shared" si="1415"/>
        <v>#NAME?</v>
      </c>
      <c r="AB25" t="e">
        <f t="shared" si="1416"/>
        <v>#NAME?</v>
      </c>
      <c r="AD25">
        <f t="shared" si="1420"/>
        <v>22</v>
      </c>
      <c r="AE25">
        <f t="shared" si="1417"/>
        <v>10.459888894360899</v>
      </c>
    </row>
    <row r="26">
      <c r="A26">
        <f t="shared" si="1418"/>
        <v>23</v>
      </c>
      <c r="B26">
        <v>9.4464576710812267</v>
      </c>
      <c r="D26">
        <f t="shared" si="1419"/>
        <v>23</v>
      </c>
      <c r="E26" t="e">
        <f t="shared" si="1410"/>
        <v>#NAME?</v>
      </c>
      <c r="F26" t="e">
        <f t="shared" si="1421"/>
        <v>#NAME?</v>
      </c>
      <c r="V26">
        <f t="shared" si="1411"/>
        <v>23</v>
      </c>
      <c r="W26" t="e">
        <f t="shared" si="1412"/>
        <v>#NAME?</v>
      </c>
      <c r="X26" t="e">
        <f t="shared" si="1413"/>
        <v>#NAME?</v>
      </c>
      <c r="Y26" t="e">
        <f t="shared" si="1414"/>
        <v>#NAME?</v>
      </c>
      <c r="Z26" t="e">
        <f t="shared" si="1402"/>
        <v>#NAME?</v>
      </c>
      <c r="AA26" t="e">
        <f t="shared" si="1415"/>
        <v>#NAME?</v>
      </c>
      <c r="AB26" t="e">
        <f t="shared" si="1416"/>
        <v>#NAME?</v>
      </c>
      <c r="AD26">
        <f t="shared" si="1420"/>
        <v>23</v>
      </c>
      <c r="AE26">
        <f t="shared" si="1417"/>
        <v>9.4464576710812302</v>
      </c>
    </row>
    <row r="27">
      <c r="A27">
        <f t="shared" si="1418"/>
        <v>24</v>
      </c>
      <c r="B27">
        <v>11.181030434794319</v>
      </c>
      <c r="D27">
        <f t="shared" si="1419"/>
        <v>24</v>
      </c>
      <c r="E27" t="e">
        <f t="shared" si="1410"/>
        <v>#NAME?</v>
      </c>
      <c r="F27" t="e">
        <f t="shared" si="1421"/>
        <v>#NAME?</v>
      </c>
      <c r="V27">
        <f t="shared" si="1411"/>
        <v>24</v>
      </c>
      <c r="W27" t="e">
        <f t="shared" si="1412"/>
        <v>#NAME?</v>
      </c>
      <c r="X27" t="e">
        <f t="shared" si="1413"/>
        <v>#NAME?</v>
      </c>
      <c r="Y27" t="e">
        <f t="shared" si="1414"/>
        <v>#NAME?</v>
      </c>
      <c r="Z27" t="e">
        <f t="shared" si="1402"/>
        <v>#NAME?</v>
      </c>
      <c r="AA27" t="e">
        <f t="shared" si="1415"/>
        <v>#NAME?</v>
      </c>
      <c r="AB27" t="e">
        <f t="shared" si="1416"/>
        <v>#NAME?</v>
      </c>
      <c r="AD27">
        <f t="shared" si="1420"/>
        <v>24</v>
      </c>
      <c r="AE27">
        <f t="shared" si="1417"/>
        <v>11.1810304347943</v>
      </c>
    </row>
    <row r="28">
      <c r="A28">
        <f t="shared" si="1418"/>
        <v>25</v>
      </c>
      <c r="B28">
        <v>7.5853602163456753</v>
      </c>
      <c r="D28">
        <f t="shared" si="1419"/>
        <v>25</v>
      </c>
      <c r="E28" t="e">
        <f t="shared" si="1410"/>
        <v>#NAME?</v>
      </c>
      <c r="F28" t="e">
        <f t="shared" si="1421"/>
        <v>#NAME?</v>
      </c>
      <c r="V28">
        <f t="shared" si="1411"/>
        <v>25</v>
      </c>
      <c r="W28" t="e">
        <f t="shared" si="1412"/>
        <v>#NAME?</v>
      </c>
      <c r="X28" t="e">
        <f t="shared" si="1413"/>
        <v>#NAME?</v>
      </c>
      <c r="Y28" t="e">
        <f t="shared" si="1414"/>
        <v>#NAME?</v>
      </c>
      <c r="Z28" t="e">
        <f t="shared" si="1402"/>
        <v>#NAME?</v>
      </c>
      <c r="AA28" t="e">
        <f t="shared" si="1415"/>
        <v>#NAME?</v>
      </c>
      <c r="AB28" t="e">
        <f t="shared" si="1416"/>
        <v>#NAME?</v>
      </c>
      <c r="AD28">
        <f t="shared" si="1420"/>
        <v>25</v>
      </c>
      <c r="AE28">
        <f t="shared" si="1417"/>
        <v>7.5853602163456797</v>
      </c>
    </row>
    <row r="29">
      <c r="A29">
        <f t="shared" si="1418"/>
        <v>26</v>
      </c>
      <c r="B29">
        <v>10.978531861411668</v>
      </c>
      <c r="D29">
        <f t="shared" si="1419"/>
        <v>26</v>
      </c>
      <c r="E29" t="e">
        <f t="shared" si="1410"/>
        <v>#NAME?</v>
      </c>
      <c r="F29" t="e">
        <f t="shared" si="1421"/>
        <v>#NAME?</v>
      </c>
      <c r="V29">
        <f t="shared" si="1411"/>
        <v>26</v>
      </c>
      <c r="W29" t="e">
        <f t="shared" si="1412"/>
        <v>#NAME?</v>
      </c>
      <c r="X29" t="e">
        <f t="shared" si="1413"/>
        <v>#NAME?</v>
      </c>
      <c r="Y29" t="e">
        <f t="shared" si="1414"/>
        <v>#NAME?</v>
      </c>
      <c r="Z29" t="e">
        <f t="shared" si="1402"/>
        <v>#NAME?</v>
      </c>
      <c r="AA29" t="e">
        <f t="shared" si="1415"/>
        <v>#NAME?</v>
      </c>
      <c r="AB29" t="e">
        <f t="shared" si="1416"/>
        <v>#NAME?</v>
      </c>
      <c r="AD29">
        <f t="shared" si="1420"/>
        <v>26</v>
      </c>
      <c r="AE29">
        <f t="shared" si="1417"/>
        <v>10.9785318614117</v>
      </c>
    </row>
    <row r="30">
      <c r="A30">
        <f t="shared" si="1418"/>
        <v>27</v>
      </c>
      <c r="B30">
        <v>10.550225208625736</v>
      </c>
      <c r="D30">
        <f t="shared" si="1419"/>
        <v>27</v>
      </c>
      <c r="E30" t="e">
        <f t="shared" si="1410"/>
        <v>#NAME?</v>
      </c>
      <c r="F30" t="e">
        <f t="shared" si="1421"/>
        <v>#NAME?</v>
      </c>
      <c r="V30">
        <f t="shared" si="1411"/>
        <v>27</v>
      </c>
      <c r="W30" t="e">
        <f t="shared" si="1412"/>
        <v>#NAME?</v>
      </c>
      <c r="X30" t="e">
        <f t="shared" si="1413"/>
        <v>#NAME?</v>
      </c>
      <c r="Y30" t="e">
        <f t="shared" si="1414"/>
        <v>#NAME?</v>
      </c>
      <c r="Z30" t="e">
        <f t="shared" si="1402"/>
        <v>#NAME?</v>
      </c>
      <c r="AA30" t="e">
        <f t="shared" si="1415"/>
        <v>#NAME?</v>
      </c>
      <c r="AB30" t="e">
        <f t="shared" si="1416"/>
        <v>#NAME?</v>
      </c>
      <c r="AD30">
        <f t="shared" si="1420"/>
        <v>27</v>
      </c>
      <c r="AE30">
        <f t="shared" si="1417"/>
        <v>10.550225208625699</v>
      </c>
    </row>
    <row r="31">
      <c r="A31">
        <f t="shared" si="1418"/>
        <v>28</v>
      </c>
      <c r="B31">
        <v>11.227461431044995</v>
      </c>
      <c r="D31">
        <f t="shared" si="1419"/>
        <v>28</v>
      </c>
      <c r="E31" t="e">
        <f t="shared" si="1410"/>
        <v>#NAME?</v>
      </c>
      <c r="F31" t="e">
        <f t="shared" si="1421"/>
        <v>#NAME?</v>
      </c>
      <c r="V31">
        <f t="shared" si="1411"/>
        <v>28</v>
      </c>
      <c r="W31" t="e">
        <f t="shared" si="1412"/>
        <v>#NAME?</v>
      </c>
      <c r="X31" t="e">
        <f t="shared" si="1413"/>
        <v>#NAME?</v>
      </c>
      <c r="Y31" t="e">
        <f t="shared" si="1414"/>
        <v>#NAME?</v>
      </c>
      <c r="Z31" t="e">
        <f t="shared" si="1402"/>
        <v>#NAME?</v>
      </c>
      <c r="AA31" t="e">
        <f t="shared" si="1415"/>
        <v>#NAME?</v>
      </c>
      <c r="AB31" t="e">
        <f t="shared" si="1416"/>
        <v>#NAME?</v>
      </c>
      <c r="AD31">
        <f t="shared" si="1420"/>
        <v>28</v>
      </c>
      <c r="AE31">
        <f t="shared" si="1417"/>
        <v>11.227461431045</v>
      </c>
    </row>
    <row r="32">
      <c r="A32">
        <f t="shared" si="1418"/>
        <v>29</v>
      </c>
      <c r="B32">
        <v>9.0761713255316874</v>
      </c>
      <c r="D32">
        <f t="shared" si="1419"/>
        <v>29</v>
      </c>
      <c r="E32" t="e">
        <f t="shared" si="1410"/>
        <v>#NAME?</v>
      </c>
      <c r="F32" t="e">
        <f t="shared" si="1421"/>
        <v>#NAME?</v>
      </c>
      <c r="V32">
        <f t="shared" si="1411"/>
        <v>29</v>
      </c>
      <c r="W32" t="e">
        <f t="shared" si="1412"/>
        <v>#NAME?</v>
      </c>
      <c r="X32" t="e">
        <f t="shared" si="1413"/>
        <v>#NAME?</v>
      </c>
      <c r="Y32" t="e">
        <f t="shared" si="1414"/>
        <v>#NAME?</v>
      </c>
      <c r="Z32" t="e">
        <f t="shared" si="1402"/>
        <v>#NAME?</v>
      </c>
      <c r="AA32" t="e">
        <f t="shared" si="1415"/>
        <v>#NAME?</v>
      </c>
      <c r="AB32" t="e">
        <f t="shared" si="1416"/>
        <v>#NAME?</v>
      </c>
      <c r="AD32">
        <f t="shared" si="1420"/>
        <v>29</v>
      </c>
      <c r="AE32">
        <f t="shared" si="1417"/>
        <v>9.0761713255316891</v>
      </c>
    </row>
    <row r="33">
      <c r="A33">
        <f t="shared" si="1418"/>
        <v>30</v>
      </c>
      <c r="B33">
        <v>9.9094956509085357</v>
      </c>
      <c r="D33">
        <f t="shared" si="1419"/>
        <v>30</v>
      </c>
      <c r="E33" t="e">
        <f t="shared" si="1410"/>
        <v>#NAME?</v>
      </c>
      <c r="F33" t="e">
        <f t="shared" si="1421"/>
        <v>#NAME?</v>
      </c>
      <c r="V33">
        <f t="shared" si="1411"/>
        <v>30</v>
      </c>
      <c r="W33" t="e">
        <f t="shared" si="1412"/>
        <v>#NAME?</v>
      </c>
      <c r="X33" t="e">
        <f t="shared" si="1413"/>
        <v>#NAME?</v>
      </c>
      <c r="Y33" t="e">
        <f t="shared" si="1414"/>
        <v>#NAME?</v>
      </c>
      <c r="Z33" t="e">
        <f t="shared" si="1402"/>
        <v>#NAME?</v>
      </c>
      <c r="AA33" t="e">
        <f t="shared" si="1415"/>
        <v>#NAME?</v>
      </c>
      <c r="AB33" t="e">
        <f t="shared" si="1416"/>
        <v>#NAME?</v>
      </c>
      <c r="AD33">
        <f t="shared" si="1420"/>
        <v>30</v>
      </c>
      <c r="AE33">
        <f t="shared" si="1417"/>
        <v>9.9094956509085392</v>
      </c>
    </row>
    <row r="34">
      <c r="A34">
        <f t="shared" si="1418"/>
        <v>31</v>
      </c>
      <c r="B34">
        <v>11.683635570981137</v>
      </c>
      <c r="D34">
        <f t="shared" si="1419"/>
        <v>31</v>
      </c>
      <c r="E34" t="e">
        <f t="shared" si="1410"/>
        <v>#NAME?</v>
      </c>
      <c r="F34" t="e">
        <f t="shared" si="1421"/>
        <v>#NAME?</v>
      </c>
      <c r="V34">
        <f t="shared" si="1411"/>
        <v>31</v>
      </c>
      <c r="W34" t="e">
        <f t="shared" si="1412"/>
        <v>#NAME?</v>
      </c>
      <c r="X34" t="e">
        <f t="shared" si="1413"/>
        <v>#NAME?</v>
      </c>
      <c r="Y34" t="e">
        <f t="shared" si="1414"/>
        <v>#NAME?</v>
      </c>
      <c r="Z34" t="e">
        <f t="shared" si="1402"/>
        <v>#NAME?</v>
      </c>
      <c r="AA34" t="e">
        <f t="shared" si="1415"/>
        <v>#NAME?</v>
      </c>
      <c r="AB34" t="e">
        <f t="shared" si="1416"/>
        <v>#NAME?</v>
      </c>
      <c r="AD34">
        <f t="shared" si="1420"/>
        <v>31</v>
      </c>
      <c r="AE34">
        <f t="shared" si="1417"/>
        <v>11.6836355709811</v>
      </c>
    </row>
    <row r="35">
      <c r="A35">
        <f t="shared" si="1418"/>
        <v>32</v>
      </c>
      <c r="B35">
        <v>9.3891181090456559</v>
      </c>
      <c r="D35">
        <f t="shared" si="1419"/>
        <v>32</v>
      </c>
      <c r="E35" t="e">
        <f t="shared" si="1410"/>
        <v>#NAME?</v>
      </c>
      <c r="F35" t="e">
        <f t="shared" si="1421"/>
        <v>#NAME?</v>
      </c>
      <c r="V35">
        <f t="shared" si="1411"/>
        <v>32</v>
      </c>
      <c r="W35" t="e">
        <f t="shared" si="1412"/>
        <v>#NAME?</v>
      </c>
      <c r="X35" t="e">
        <f t="shared" si="1413"/>
        <v>#NAME?</v>
      </c>
      <c r="Y35" t="e">
        <f t="shared" si="1414"/>
        <v>#NAME?</v>
      </c>
      <c r="Z35" t="e">
        <f t="shared" si="1402"/>
        <v>#NAME?</v>
      </c>
      <c r="AA35" t="e">
        <f t="shared" si="1415"/>
        <v>#NAME?</v>
      </c>
      <c r="AB35" t="e">
        <f t="shared" si="1416"/>
        <v>#NAME?</v>
      </c>
      <c r="AD35">
        <f t="shared" si="1420"/>
        <v>32</v>
      </c>
      <c r="AE35">
        <f t="shared" si="1417"/>
        <v>9.3891181090456595</v>
      </c>
    </row>
    <row r="36">
      <c r="A36">
        <f t="shared" si="1418"/>
        <v>33</v>
      </c>
      <c r="B36">
        <v>11.280967352963559</v>
      </c>
      <c r="D36">
        <f t="shared" si="1419"/>
        <v>33</v>
      </c>
      <c r="E36" t="e">
        <f t="shared" si="1410"/>
        <v>#NAME?</v>
      </c>
      <c r="F36" t="e">
        <f t="shared" si="1421"/>
        <v>#NAME?</v>
      </c>
      <c r="V36">
        <f t="shared" si="1411"/>
        <v>33</v>
      </c>
      <c r="W36" t="e">
        <f t="shared" si="1412"/>
        <v>#NAME?</v>
      </c>
      <c r="X36" t="e">
        <f t="shared" si="1413"/>
        <v>#NAME?</v>
      </c>
      <c r="Y36" t="e">
        <f t="shared" si="1414"/>
        <v>#NAME?</v>
      </c>
      <c r="Z36" t="e">
        <f t="shared" si="1402"/>
        <v>#NAME?</v>
      </c>
      <c r="AA36" t="e">
        <f t="shared" si="1415"/>
        <v>#NAME?</v>
      </c>
      <c r="AB36" t="e">
        <f t="shared" si="1416"/>
        <v>#NAME?</v>
      </c>
      <c r="AD36">
        <f t="shared" si="1420"/>
        <v>33</v>
      </c>
      <c r="AE36">
        <f t="shared" si="1417"/>
        <v>11.2809673529636</v>
      </c>
    </row>
    <row r="37">
      <c r="A37">
        <f t="shared" si="1418"/>
        <v>34</v>
      </c>
      <c r="B37">
        <v>9.0777000543373685</v>
      </c>
      <c r="D37">
        <f t="shared" si="1419"/>
        <v>34</v>
      </c>
      <c r="E37" t="e">
        <f t="shared" si="1410"/>
        <v>#NAME?</v>
      </c>
      <c r="F37" t="e">
        <f t="shared" si="1421"/>
        <v>#NAME?</v>
      </c>
      <c r="V37">
        <f t="shared" si="1411"/>
        <v>34</v>
      </c>
      <c r="W37" t="e">
        <f t="shared" si="1412"/>
        <v>#NAME?</v>
      </c>
      <c r="X37" t="e">
        <f t="shared" si="1413"/>
        <v>#NAME?</v>
      </c>
      <c r="Y37" t="e">
        <f t="shared" si="1414"/>
        <v>#NAME?</v>
      </c>
      <c r="Z37" t="e">
        <f t="shared" si="1402"/>
        <v>#NAME?</v>
      </c>
      <c r="AA37" t="e">
        <f t="shared" si="1415"/>
        <v>#NAME?</v>
      </c>
      <c r="AB37" t="e">
        <f t="shared" si="1416"/>
        <v>#NAME?</v>
      </c>
      <c r="AD37">
        <f t="shared" si="1420"/>
        <v>34</v>
      </c>
      <c r="AE37">
        <f t="shared" si="1417"/>
        <v>9.0777000543373703</v>
      </c>
    </row>
    <row r="38">
      <c r="A38">
        <f t="shared" si="1418"/>
        <v>35</v>
      </c>
      <c r="B38">
        <v>9.4218520797101899</v>
      </c>
      <c r="D38">
        <f t="shared" si="1419"/>
        <v>35</v>
      </c>
      <c r="E38" t="e">
        <f t="shared" si="1410"/>
        <v>#NAME?</v>
      </c>
      <c r="F38" t="e">
        <f t="shared" si="1421"/>
        <v>#NAME?</v>
      </c>
      <c r="V38">
        <f t="shared" si="1411"/>
        <v>35</v>
      </c>
      <c r="W38" t="e">
        <f t="shared" si="1412"/>
        <v>#NAME?</v>
      </c>
      <c r="X38" t="e">
        <f t="shared" si="1413"/>
        <v>#NAME?</v>
      </c>
      <c r="Y38" t="e">
        <f t="shared" si="1414"/>
        <v>#NAME?</v>
      </c>
      <c r="Z38" t="e">
        <f t="shared" si="1402"/>
        <v>#NAME?</v>
      </c>
      <c r="AA38" t="e">
        <f t="shared" si="1415"/>
        <v>#NAME?</v>
      </c>
      <c r="AB38" t="e">
        <f t="shared" si="1416"/>
        <v>#NAME?</v>
      </c>
      <c r="AD38">
        <f t="shared" si="1420"/>
        <v>35</v>
      </c>
      <c r="AE38">
        <f t="shared" si="1417"/>
        <v>9.4218520797101899</v>
      </c>
    </row>
    <row r="39">
      <c r="A39">
        <f t="shared" si="1418"/>
        <v>36</v>
      </c>
      <c r="B39">
        <v>10.768670766726222</v>
      </c>
      <c r="D39">
        <f t="shared" si="1419"/>
        <v>36</v>
      </c>
      <c r="E39" t="e">
        <f t="shared" si="1410"/>
        <v>#NAME?</v>
      </c>
      <c r="F39" t="e">
        <f t="shared" si="1421"/>
        <v>#NAME?</v>
      </c>
      <c r="V39">
        <f t="shared" si="1411"/>
        <v>36</v>
      </c>
      <c r="W39" t="e">
        <f t="shared" si="1412"/>
        <v>#NAME?</v>
      </c>
      <c r="X39" t="e">
        <f t="shared" si="1413"/>
        <v>#NAME?</v>
      </c>
      <c r="Y39" t="e">
        <f t="shared" si="1414"/>
        <v>#NAME?</v>
      </c>
      <c r="Z39" t="e">
        <f t="shared" si="1402"/>
        <v>#NAME?</v>
      </c>
      <c r="AA39" t="e">
        <f t="shared" si="1415"/>
        <v>#NAME?</v>
      </c>
      <c r="AB39" t="e">
        <f t="shared" si="1416"/>
        <v>#NAME?</v>
      </c>
      <c r="AD39">
        <f t="shared" si="1420"/>
        <v>36</v>
      </c>
      <c r="AE39">
        <f t="shared" si="1417"/>
        <v>10.768670766726199</v>
      </c>
    </row>
    <row r="40">
      <c r="A40">
        <f t="shared" si="1418"/>
        <v>37</v>
      </c>
      <c r="B40">
        <v>10.044686426220611</v>
      </c>
      <c r="D40">
        <f t="shared" si="1419"/>
        <v>37</v>
      </c>
      <c r="E40" t="e">
        <f t="shared" si="1410"/>
        <v>#NAME?</v>
      </c>
      <c r="F40" t="e">
        <f t="shared" si="1421"/>
        <v>#NAME?</v>
      </c>
      <c r="V40">
        <f t="shared" si="1411"/>
        <v>37</v>
      </c>
      <c r="W40" t="e">
        <f t="shared" si="1412"/>
        <v>#NAME?</v>
      </c>
      <c r="X40" t="e">
        <f t="shared" si="1413"/>
        <v>#NAME?</v>
      </c>
      <c r="Y40" t="e">
        <f t="shared" si="1414"/>
        <v>#NAME?</v>
      </c>
      <c r="Z40" t="e">
        <f t="shared" si="1402"/>
        <v>#NAME?</v>
      </c>
      <c r="AA40" t="e">
        <f t="shared" si="1415"/>
        <v>#NAME?</v>
      </c>
      <c r="AB40" t="e">
        <f t="shared" si="1416"/>
        <v>#NAME?</v>
      </c>
      <c r="AD40">
        <f t="shared" si="1420"/>
        <v>37</v>
      </c>
      <c r="AE40">
        <f t="shared" si="1417"/>
        <v>10.044686426220601</v>
      </c>
    </row>
    <row r="41">
      <c r="A41">
        <f t="shared" si="1418"/>
        <v>38</v>
      </c>
      <c r="B41">
        <v>9.5026475408720934</v>
      </c>
      <c r="D41">
        <f t="shared" si="1419"/>
        <v>38</v>
      </c>
      <c r="E41" t="e">
        <f t="shared" si="1410"/>
        <v>#NAME?</v>
      </c>
      <c r="F41" t="e">
        <f t="shared" si="1421"/>
        <v>#NAME?</v>
      </c>
      <c r="V41">
        <f t="shared" si="1411"/>
        <v>38</v>
      </c>
      <c r="W41" t="e">
        <f t="shared" si="1412"/>
        <v>#NAME?</v>
      </c>
      <c r="X41" t="e">
        <f t="shared" si="1413"/>
        <v>#NAME?</v>
      </c>
      <c r="Y41" t="e">
        <f t="shared" si="1414"/>
        <v>#NAME?</v>
      </c>
      <c r="Z41" t="e">
        <f t="shared" si="1402"/>
        <v>#NAME?</v>
      </c>
      <c r="AA41" t="e">
        <f t="shared" si="1415"/>
        <v>#NAME?</v>
      </c>
      <c r="AB41" t="e">
        <f t="shared" si="1416"/>
        <v>#NAME?</v>
      </c>
      <c r="AD41">
        <f t="shared" si="1420"/>
        <v>38</v>
      </c>
      <c r="AE41">
        <f t="shared" si="1417"/>
        <v>9.5026475408721005</v>
      </c>
    </row>
    <row r="42">
      <c r="A42">
        <f t="shared" si="1418"/>
        <v>39</v>
      </c>
      <c r="B42">
        <v>12.016635145209888</v>
      </c>
      <c r="D42">
        <f t="shared" si="1419"/>
        <v>39</v>
      </c>
      <c r="E42" t="e">
        <f t="shared" si="1410"/>
        <v>#NAME?</v>
      </c>
      <c r="F42" t="e">
        <f t="shared" si="1421"/>
        <v>#NAME?</v>
      </c>
      <c r="V42">
        <f t="shared" si="1411"/>
        <v>39</v>
      </c>
      <c r="W42" t="e">
        <f t="shared" si="1412"/>
        <v>#NAME?</v>
      </c>
      <c r="X42" t="e">
        <f t="shared" si="1413"/>
        <v>#NAME?</v>
      </c>
      <c r="Y42" t="e">
        <f t="shared" si="1414"/>
        <v>#NAME?</v>
      </c>
      <c r="Z42" t="e">
        <f t="shared" si="1402"/>
        <v>#NAME?</v>
      </c>
      <c r="AA42" t="e">
        <f t="shared" si="1415"/>
        <v>#NAME?</v>
      </c>
      <c r="AB42" t="e">
        <f t="shared" si="1416"/>
        <v>#NAME?</v>
      </c>
      <c r="AD42">
        <f t="shared" si="1420"/>
        <v>39</v>
      </c>
      <c r="AE42">
        <f t="shared" si="1417"/>
        <v>12.0166351452099</v>
      </c>
    </row>
    <row r="43">
      <c r="A43">
        <f t="shared" si="1418"/>
        <v>40</v>
      </c>
      <c r="B43">
        <v>9.6075824244635548</v>
      </c>
      <c r="D43">
        <f t="shared" si="1419"/>
        <v>40</v>
      </c>
      <c r="E43" t="e">
        <f t="shared" si="1410"/>
        <v>#NAME?</v>
      </c>
      <c r="F43" t="e">
        <f t="shared" si="1421"/>
        <v>#NAME?</v>
      </c>
      <c r="V43">
        <f t="shared" si="1411"/>
        <v>40</v>
      </c>
      <c r="W43" t="e">
        <f t="shared" si="1412"/>
        <v>#NAME?</v>
      </c>
      <c r="X43" t="e">
        <f t="shared" si="1413"/>
        <v>#NAME?</v>
      </c>
      <c r="Y43" t="e">
        <f t="shared" si="1414"/>
        <v>#NAME?</v>
      </c>
      <c r="Z43" t="e">
        <f t="shared" si="1402"/>
        <v>#NAME?</v>
      </c>
      <c r="AA43" t="e">
        <f t="shared" si="1415"/>
        <v>#NAME?</v>
      </c>
      <c r="AB43" t="e">
        <f t="shared" si="1416"/>
        <v>#NAME?</v>
      </c>
      <c r="AD43">
        <f t="shared" si="1420"/>
        <v>40</v>
      </c>
      <c r="AE43">
        <f t="shared" si="1417"/>
        <v>9.6075824244635601</v>
      </c>
    </row>
    <row r="44">
      <c r="A44">
        <f t="shared" si="1418"/>
        <v>41</v>
      </c>
      <c r="B44">
        <v>10.47879870661002</v>
      </c>
      <c r="D44">
        <f t="shared" si="1419"/>
        <v>41</v>
      </c>
      <c r="E44" t="e">
        <f t="shared" si="1410"/>
        <v>#NAME?</v>
      </c>
      <c r="F44" t="e">
        <f t="shared" si="1421"/>
        <v>#NAME?</v>
      </c>
      <c r="V44">
        <f t="shared" si="1411"/>
        <v>41</v>
      </c>
      <c r="W44" t="e">
        <f t="shared" si="1412"/>
        <v>#NAME?</v>
      </c>
      <c r="X44" t="e">
        <f t="shared" si="1413"/>
        <v>#NAME?</v>
      </c>
      <c r="Y44" t="e">
        <f t="shared" si="1414"/>
        <v>#NAME?</v>
      </c>
      <c r="Z44" t="e">
        <f t="shared" si="1402"/>
        <v>#NAME?</v>
      </c>
      <c r="AA44" t="e">
        <f t="shared" si="1415"/>
        <v>#NAME?</v>
      </c>
      <c r="AB44" t="e">
        <f t="shared" si="1416"/>
        <v>#NAME?</v>
      </c>
      <c r="AD44">
        <f t="shared" si="1420"/>
        <v>41</v>
      </c>
      <c r="AE44">
        <f t="shared" si="1417"/>
        <v>10.47879870661</v>
      </c>
    </row>
    <row r="45">
      <c r="A45">
        <f t="shared" si="1418"/>
        <v>42</v>
      </c>
      <c r="B45">
        <v>10.131145996118136</v>
      </c>
      <c r="D45">
        <f t="shared" si="1419"/>
        <v>42</v>
      </c>
      <c r="E45" t="e">
        <f t="shared" si="1410"/>
        <v>#NAME?</v>
      </c>
      <c r="F45" t="e">
        <f t="shared" si="1421"/>
        <v>#NAME?</v>
      </c>
      <c r="V45">
        <f t="shared" si="1411"/>
        <v>42</v>
      </c>
      <c r="W45" t="e">
        <f t="shared" si="1412"/>
        <v>#NAME?</v>
      </c>
      <c r="X45" t="e">
        <f t="shared" si="1413"/>
        <v>#NAME?</v>
      </c>
      <c r="Y45" t="e">
        <f t="shared" si="1414"/>
        <v>#NAME?</v>
      </c>
      <c r="Z45" t="e">
        <f t="shared" si="1402"/>
        <v>#NAME?</v>
      </c>
      <c r="AA45" t="e">
        <f t="shared" si="1415"/>
        <v>#NAME?</v>
      </c>
      <c r="AB45" t="e">
        <f t="shared" si="1416"/>
        <v>#NAME?</v>
      </c>
      <c r="AD45">
        <f t="shared" si="1420"/>
        <v>42</v>
      </c>
      <c r="AE45">
        <f t="shared" si="1417"/>
        <v>10.1311459961181</v>
      </c>
    </row>
    <row r="46">
      <c r="A46">
        <f t="shared" si="1418"/>
        <v>43</v>
      </c>
      <c r="B46">
        <v>9.3102529930939451</v>
      </c>
      <c r="D46">
        <f t="shared" si="1419"/>
        <v>43</v>
      </c>
      <c r="E46" t="e">
        <f t="shared" si="1410"/>
        <v>#NAME?</v>
      </c>
      <c r="F46" t="e">
        <f t="shared" si="1421"/>
        <v>#NAME?</v>
      </c>
      <c r="V46">
        <f t="shared" si="1411"/>
        <v>43</v>
      </c>
      <c r="W46" t="e">
        <f t="shared" si="1412"/>
        <v>#NAME?</v>
      </c>
      <c r="X46" t="e">
        <f t="shared" si="1413"/>
        <v>#NAME?</v>
      </c>
      <c r="Y46" t="e">
        <f t="shared" si="1414"/>
        <v>#NAME?</v>
      </c>
      <c r="Z46" t="e">
        <f t="shared" si="1402"/>
        <v>#NAME?</v>
      </c>
      <c r="AA46" t="e">
        <f t="shared" si="1415"/>
        <v>#NAME?</v>
      </c>
      <c r="AB46" t="e">
        <f t="shared" si="1416"/>
        <v>#NAME?</v>
      </c>
      <c r="AD46">
        <f t="shared" si="1420"/>
        <v>43</v>
      </c>
      <c r="AE46">
        <f t="shared" si="1417"/>
        <v>9.3102529930939504</v>
      </c>
    </row>
    <row r="47">
      <c r="A47">
        <f t="shared" si="1418"/>
        <v>44</v>
      </c>
      <c r="B47">
        <v>9.9532374569799149</v>
      </c>
      <c r="D47">
        <f t="shared" si="1419"/>
        <v>44</v>
      </c>
      <c r="E47" t="e">
        <f t="shared" si="1410"/>
        <v>#NAME?</v>
      </c>
      <c r="F47" t="e">
        <f t="shared" si="1421"/>
        <v>#NAME?</v>
      </c>
      <c r="V47">
        <f t="shared" si="1411"/>
        <v>44</v>
      </c>
      <c r="W47" t="e">
        <f t="shared" si="1412"/>
        <v>#NAME?</v>
      </c>
      <c r="X47" t="e">
        <f t="shared" si="1413"/>
        <v>#NAME?</v>
      </c>
      <c r="Y47" t="e">
        <f t="shared" si="1414"/>
        <v>#NAME?</v>
      </c>
      <c r="Z47" t="e">
        <f t="shared" si="1402"/>
        <v>#NAME?</v>
      </c>
      <c r="AA47" t="e">
        <f t="shared" si="1415"/>
        <v>#NAME?</v>
      </c>
      <c r="AB47" t="e">
        <f t="shared" si="1416"/>
        <v>#NAME?</v>
      </c>
      <c r="AD47">
        <f t="shared" si="1420"/>
        <v>44</v>
      </c>
      <c r="AE47">
        <f t="shared" si="1417"/>
        <v>9.9532374569799202</v>
      </c>
    </row>
    <row r="48">
      <c r="A48">
        <f t="shared" si="1418"/>
        <v>45</v>
      </c>
      <c r="B48">
        <v>9.9320829740295604</v>
      </c>
      <c r="D48">
        <f t="shared" si="1419"/>
        <v>45</v>
      </c>
      <c r="E48" t="e">
        <f t="shared" si="1410"/>
        <v>#NAME?</v>
      </c>
      <c r="F48" t="e">
        <f t="shared" si="1421"/>
        <v>#NAME?</v>
      </c>
      <c r="V48">
        <f t="shared" si="1411"/>
        <v>45</v>
      </c>
      <c r="W48" t="e">
        <f t="shared" si="1412"/>
        <v>#NAME?</v>
      </c>
      <c r="X48" t="e">
        <f t="shared" si="1413"/>
        <v>#NAME?</v>
      </c>
      <c r="Y48" t="e">
        <f t="shared" si="1414"/>
        <v>#NAME?</v>
      </c>
      <c r="Z48" t="e">
        <f t="shared" si="1402"/>
        <v>#NAME?</v>
      </c>
      <c r="AA48" t="e">
        <f t="shared" si="1415"/>
        <v>#NAME?</v>
      </c>
      <c r="AB48" t="e">
        <f t="shared" si="1416"/>
        <v>#NAME?</v>
      </c>
      <c r="AD48">
        <f t="shared" si="1420"/>
        <v>45</v>
      </c>
      <c r="AE48">
        <f t="shared" si="1417"/>
        <v>9.9320829740295604</v>
      </c>
    </row>
    <row r="49">
      <c r="A49">
        <f t="shared" si="1418"/>
        <v>46</v>
      </c>
      <c r="B49">
        <v>11.635101979488615</v>
      </c>
      <c r="D49">
        <f t="shared" si="1419"/>
        <v>46</v>
      </c>
      <c r="E49" t="e">
        <f t="shared" si="1410"/>
        <v>#NAME?</v>
      </c>
      <c r="F49" t="e">
        <f t="shared" si="1421"/>
        <v>#NAME?</v>
      </c>
      <c r="V49">
        <f t="shared" si="1411"/>
        <v>46</v>
      </c>
      <c r="W49" t="e">
        <f t="shared" si="1412"/>
        <v>#NAME?</v>
      </c>
      <c r="X49" t="e">
        <f t="shared" si="1413"/>
        <v>#NAME?</v>
      </c>
      <c r="Y49" t="e">
        <f t="shared" si="1414"/>
        <v>#NAME?</v>
      </c>
      <c r="Z49" t="e">
        <f t="shared" si="1402"/>
        <v>#NAME?</v>
      </c>
      <c r="AA49" t="e">
        <f t="shared" si="1415"/>
        <v>#NAME?</v>
      </c>
      <c r="AB49" t="e">
        <f t="shared" si="1416"/>
        <v>#NAME?</v>
      </c>
      <c r="AD49">
        <f t="shared" si="1420"/>
        <v>46</v>
      </c>
      <c r="AE49">
        <f t="shared" si="1417"/>
        <v>11.635101979488599</v>
      </c>
    </row>
    <row r="50">
      <c r="A50">
        <f t="shared" si="1418"/>
        <v>47</v>
      </c>
      <c r="B50">
        <v>10.428242822398191</v>
      </c>
      <c r="D50">
        <f t="shared" si="1419"/>
        <v>47</v>
      </c>
      <c r="E50" t="e">
        <f t="shared" si="1410"/>
        <v>#NAME?</v>
      </c>
      <c r="F50" t="e">
        <f t="shared" si="1421"/>
        <v>#NAME?</v>
      </c>
      <c r="V50">
        <f t="shared" si="1411"/>
        <v>47</v>
      </c>
      <c r="W50" t="e">
        <f t="shared" si="1412"/>
        <v>#NAME?</v>
      </c>
      <c r="X50" t="e">
        <f t="shared" si="1413"/>
        <v>#NAME?</v>
      </c>
      <c r="Y50" t="e">
        <f t="shared" si="1414"/>
        <v>#NAME?</v>
      </c>
      <c r="Z50" t="e">
        <f t="shared" si="1402"/>
        <v>#NAME?</v>
      </c>
      <c r="AA50" t="e">
        <f t="shared" si="1415"/>
        <v>#NAME?</v>
      </c>
      <c r="AB50" t="e">
        <f t="shared" si="1416"/>
        <v>#NAME?</v>
      </c>
      <c r="AD50">
        <f t="shared" si="1420"/>
        <v>47</v>
      </c>
      <c r="AE50">
        <f t="shared" si="1417"/>
        <v>10.4282428223982</v>
      </c>
    </row>
    <row r="51">
      <c r="A51">
        <f t="shared" si="1418"/>
        <v>48</v>
      </c>
      <c r="B51">
        <v>9.6942306857497602</v>
      </c>
      <c r="D51">
        <f t="shared" si="1419"/>
        <v>48</v>
      </c>
      <c r="E51" t="e">
        <f t="shared" si="1410"/>
        <v>#NAME?</v>
      </c>
      <c r="F51" t="e">
        <f t="shared" si="1421"/>
        <v>#NAME?</v>
      </c>
      <c r="V51">
        <f t="shared" si="1411"/>
        <v>48</v>
      </c>
      <c r="W51" t="e">
        <f t="shared" si="1412"/>
        <v>#NAME?</v>
      </c>
      <c r="X51" t="e">
        <f t="shared" si="1413"/>
        <v>#NAME?</v>
      </c>
      <c r="Y51" t="e">
        <f t="shared" si="1414"/>
        <v>#NAME?</v>
      </c>
      <c r="Z51" t="e">
        <f t="shared" si="1402"/>
        <v>#NAME?</v>
      </c>
      <c r="AA51" t="e">
        <f t="shared" si="1415"/>
        <v>#NAME?</v>
      </c>
      <c r="AB51" t="e">
        <f t="shared" si="1416"/>
        <v>#NAME?</v>
      </c>
      <c r="AD51">
        <f t="shared" si="1420"/>
        <v>48</v>
      </c>
      <c r="AE51">
        <f t="shared" si="1417"/>
        <v>9.6942306857497602</v>
      </c>
    </row>
    <row r="52">
      <c r="A52">
        <f t="shared" si="1418"/>
        <v>49</v>
      </c>
      <c r="B52">
        <v>10.169036752376758</v>
      </c>
      <c r="D52">
        <f t="shared" si="1419"/>
        <v>49</v>
      </c>
      <c r="E52" t="e">
        <f t="shared" si="1410"/>
        <v>#NAME?</v>
      </c>
      <c r="F52" t="e">
        <f t="shared" si="1421"/>
        <v>#NAME?</v>
      </c>
      <c r="V52">
        <f t="shared" si="1411"/>
        <v>49</v>
      </c>
      <c r="W52" t="e">
        <f t="shared" si="1412"/>
        <v>#NAME?</v>
      </c>
      <c r="X52" t="e">
        <f t="shared" si="1413"/>
        <v>#NAME?</v>
      </c>
      <c r="Y52" t="e">
        <f t="shared" si="1414"/>
        <v>#NAME?</v>
      </c>
      <c r="Z52" t="e">
        <f t="shared" si="1402"/>
        <v>#NAME?</v>
      </c>
      <c r="AA52" t="e">
        <f t="shared" si="1415"/>
        <v>#NAME?</v>
      </c>
      <c r="AB52" t="e">
        <f t="shared" si="1416"/>
        <v>#NAME?</v>
      </c>
      <c r="AD52">
        <f t="shared" si="1420"/>
        <v>49</v>
      </c>
      <c r="AE52">
        <f t="shared" si="1417"/>
        <v>10.169036752376799</v>
      </c>
    </row>
    <row r="53">
      <c r="A53">
        <f t="shared" si="1418"/>
        <v>50</v>
      </c>
      <c r="B53">
        <v>10.486655712590014</v>
      </c>
      <c r="D53">
        <f t="shared" si="1419"/>
        <v>50</v>
      </c>
      <c r="E53" t="e">
        <f t="shared" si="1410"/>
        <v>#NAME?</v>
      </c>
      <c r="F53" t="e">
        <f t="shared" si="1421"/>
        <v>#NAME?</v>
      </c>
      <c r="V53">
        <f t="shared" si="1411"/>
        <v>50</v>
      </c>
      <c r="W53" t="e">
        <f t="shared" si="1412"/>
        <v>#NAME?</v>
      </c>
      <c r="X53" t="e">
        <f t="shared" si="1413"/>
        <v>#NAME?</v>
      </c>
      <c r="Y53" t="e">
        <f t="shared" si="1414"/>
        <v>#NAME?</v>
      </c>
      <c r="Z53" t="e">
        <f t="shared" si="1402"/>
        <v>#NAME?</v>
      </c>
      <c r="AA53" t="e">
        <f t="shared" si="1415"/>
        <v>#NAME?</v>
      </c>
      <c r="AB53" t="e">
        <f t="shared" si="1416"/>
        <v>#NAME?</v>
      </c>
      <c r="AD53">
        <f t="shared" si="1420"/>
        <v>50</v>
      </c>
      <c r="AE53">
        <f t="shared" si="1417"/>
        <v>10.48665571259</v>
      </c>
    </row>
    <row r="54">
      <c r="A54">
        <f t="shared" si="1418"/>
        <v>51</v>
      </c>
      <c r="B54">
        <v>10.656149640052815</v>
      </c>
      <c r="D54">
        <f t="shared" si="1419"/>
        <v>51</v>
      </c>
      <c r="E54" t="e">
        <f t="shared" si="1410"/>
        <v>#NAME?</v>
      </c>
      <c r="F54" t="e">
        <f t="shared" si="1421"/>
        <v>#NAME?</v>
      </c>
      <c r="V54">
        <f t="shared" si="1411"/>
        <v>51</v>
      </c>
      <c r="W54" t="e">
        <f t="shared" si="1412"/>
        <v>#NAME?</v>
      </c>
      <c r="X54" t="e">
        <f t="shared" si="1413"/>
        <v>#NAME?</v>
      </c>
      <c r="Y54" t="e">
        <f t="shared" si="1414"/>
        <v>#NAME?</v>
      </c>
      <c r="Z54" t="e">
        <f t="shared" si="1402"/>
        <v>#NAME?</v>
      </c>
      <c r="AA54" t="e">
        <f t="shared" si="1415"/>
        <v>#NAME?</v>
      </c>
      <c r="AB54" t="e">
        <f t="shared" si="1416"/>
        <v>#NAME?</v>
      </c>
      <c r="AD54">
        <f t="shared" si="1420"/>
        <v>51</v>
      </c>
      <c r="AE54">
        <f t="shared" si="1417"/>
        <v>10.656149640052799</v>
      </c>
    </row>
    <row r="55">
      <c r="A55">
        <f t="shared" si="1418"/>
        <v>52</v>
      </c>
      <c r="B55">
        <v>10.129317566616013</v>
      </c>
      <c r="D55">
        <f t="shared" si="1419"/>
        <v>52</v>
      </c>
      <c r="E55" t="e">
        <f t="shared" si="1410"/>
        <v>#NAME?</v>
      </c>
      <c r="F55" t="e">
        <f t="shared" si="1421"/>
        <v>#NAME?</v>
      </c>
      <c r="V55">
        <f t="shared" si="1411"/>
        <v>52</v>
      </c>
      <c r="W55" t="e">
        <f t="shared" si="1412"/>
        <v>#NAME?</v>
      </c>
      <c r="X55" t="e">
        <f t="shared" si="1413"/>
        <v>#NAME?</v>
      </c>
      <c r="Y55" t="e">
        <f t="shared" si="1414"/>
        <v>#NAME?</v>
      </c>
      <c r="Z55" t="e">
        <f t="shared" si="1402"/>
        <v>#NAME?</v>
      </c>
      <c r="AA55" t="e">
        <f t="shared" si="1415"/>
        <v>#NAME?</v>
      </c>
      <c r="AB55" t="e">
        <f t="shared" si="1416"/>
        <v>#NAME?</v>
      </c>
      <c r="AD55">
        <f t="shared" si="1420"/>
        <v>52</v>
      </c>
      <c r="AE55">
        <f t="shared" si="1417"/>
        <v>10.129317566616001</v>
      </c>
    </row>
    <row r="56">
      <c r="A56">
        <f t="shared" si="1418"/>
        <v>53</v>
      </c>
      <c r="B56">
        <v>8.9663057524182062</v>
      </c>
      <c r="D56">
        <f t="shared" si="1419"/>
        <v>53</v>
      </c>
      <c r="E56" t="e">
        <f t="shared" si="1410"/>
        <v>#NAME?</v>
      </c>
      <c r="F56" t="e">
        <f t="shared" si="1421"/>
        <v>#NAME?</v>
      </c>
      <c r="V56">
        <f t="shared" si="1411"/>
        <v>53</v>
      </c>
      <c r="W56" t="e">
        <f t="shared" si="1412"/>
        <v>#NAME?</v>
      </c>
      <c r="X56" t="e">
        <f t="shared" si="1413"/>
        <v>#NAME?</v>
      </c>
      <c r="Y56" t="e">
        <f t="shared" si="1414"/>
        <v>#NAME?</v>
      </c>
      <c r="Z56" t="e">
        <f t="shared" si="1402"/>
        <v>#NAME?</v>
      </c>
      <c r="AA56" t="e">
        <f t="shared" si="1415"/>
        <v>#NAME?</v>
      </c>
      <c r="AB56" t="e">
        <f t="shared" si="1416"/>
        <v>#NAME?</v>
      </c>
      <c r="AD56">
        <f t="shared" si="1420"/>
        <v>53</v>
      </c>
      <c r="AE56">
        <f t="shared" si="1417"/>
        <v>8.9663057524182097</v>
      </c>
    </row>
    <row r="57">
      <c r="A57">
        <f t="shared" si="1418"/>
        <v>54</v>
      </c>
      <c r="B57">
        <v>8.1067514389924806</v>
      </c>
      <c r="D57">
        <f t="shared" si="1419"/>
        <v>54</v>
      </c>
      <c r="E57" t="e">
        <f t="shared" si="1410"/>
        <v>#NAME?</v>
      </c>
      <c r="F57" t="e">
        <f t="shared" si="1421"/>
        <v>#NAME?</v>
      </c>
      <c r="V57">
        <f t="shared" si="1411"/>
        <v>54</v>
      </c>
      <c r="W57" t="e">
        <f t="shared" si="1412"/>
        <v>#NAME?</v>
      </c>
      <c r="X57" t="e">
        <f t="shared" si="1413"/>
        <v>#NAME?</v>
      </c>
      <c r="Y57" t="e">
        <f t="shared" si="1414"/>
        <v>#NAME?</v>
      </c>
      <c r="Z57" t="e">
        <f t="shared" si="1402"/>
        <v>#NAME?</v>
      </c>
      <c r="AA57" t="e">
        <f t="shared" si="1415"/>
        <v>#NAME?</v>
      </c>
      <c r="AB57" t="e">
        <f t="shared" si="1416"/>
        <v>#NAME?</v>
      </c>
      <c r="AD57">
        <f t="shared" si="1420"/>
        <v>54</v>
      </c>
      <c r="AE57">
        <f t="shared" si="1417"/>
        <v>8.1067514389924806</v>
      </c>
    </row>
    <row r="58">
      <c r="A58">
        <f t="shared" si="1418"/>
        <v>55</v>
      </c>
      <c r="B58">
        <v>8.6738987578515001</v>
      </c>
      <c r="D58">
        <f t="shared" si="1419"/>
        <v>55</v>
      </c>
      <c r="E58" t="e">
        <f t="shared" si="1410"/>
        <v>#NAME?</v>
      </c>
      <c r="F58" t="e">
        <f t="shared" si="1421"/>
        <v>#NAME?</v>
      </c>
      <c r="V58">
        <f t="shared" si="1411"/>
        <v>55</v>
      </c>
      <c r="W58" t="e">
        <f t="shared" si="1412"/>
        <v>#NAME?</v>
      </c>
      <c r="X58" t="e">
        <f t="shared" si="1413"/>
        <v>#NAME?</v>
      </c>
      <c r="Y58" t="e">
        <f t="shared" si="1414"/>
        <v>#NAME?</v>
      </c>
      <c r="Z58" t="e">
        <f t="shared" si="1402"/>
        <v>#NAME?</v>
      </c>
      <c r="AA58" t="e">
        <f t="shared" si="1415"/>
        <v>#NAME?</v>
      </c>
      <c r="AB58" t="e">
        <f t="shared" si="1416"/>
        <v>#NAME?</v>
      </c>
      <c r="AD58">
        <f t="shared" si="1420"/>
        <v>55</v>
      </c>
      <c r="AE58">
        <f t="shared" si="1417"/>
        <v>8.6738987578515001</v>
      </c>
    </row>
    <row r="59">
      <c r="A59">
        <f t="shared" si="1418"/>
        <v>56</v>
      </c>
      <c r="B59">
        <v>8.7398621237592646</v>
      </c>
      <c r="D59">
        <f t="shared" si="1419"/>
        <v>56</v>
      </c>
      <c r="E59" t="e">
        <f t="shared" si="1410"/>
        <v>#NAME?</v>
      </c>
      <c r="F59" t="e">
        <f t="shared" si="1421"/>
        <v>#NAME?</v>
      </c>
      <c r="V59">
        <f t="shared" si="1411"/>
        <v>56</v>
      </c>
      <c r="W59" t="e">
        <f t="shared" si="1412"/>
        <v>#NAME?</v>
      </c>
      <c r="X59" t="e">
        <f t="shared" si="1413"/>
        <v>#NAME?</v>
      </c>
      <c r="Y59" t="e">
        <f t="shared" si="1414"/>
        <v>#NAME?</v>
      </c>
      <c r="Z59" t="e">
        <f t="shared" si="1402"/>
        <v>#NAME?</v>
      </c>
      <c r="AA59" t="e">
        <f t="shared" si="1415"/>
        <v>#NAME?</v>
      </c>
      <c r="AB59" t="e">
        <f t="shared" si="1416"/>
        <v>#NAME?</v>
      </c>
      <c r="AD59">
        <f t="shared" si="1420"/>
        <v>56</v>
      </c>
      <c r="AE59">
        <f t="shared" si="1417"/>
        <v>8.73986212375927</v>
      </c>
    </row>
    <row r="60">
      <c r="A60">
        <f t="shared" si="1418"/>
        <v>57</v>
      </c>
      <c r="B60">
        <v>8.7639760975280581</v>
      </c>
      <c r="D60">
        <f t="shared" si="1419"/>
        <v>57</v>
      </c>
      <c r="E60" t="e">
        <f t="shared" si="1410"/>
        <v>#NAME?</v>
      </c>
      <c r="F60" t="e">
        <f t="shared" si="1421"/>
        <v>#NAME?</v>
      </c>
      <c r="V60">
        <f t="shared" si="1411"/>
        <v>57</v>
      </c>
      <c r="W60" t="e">
        <f t="shared" si="1412"/>
        <v>#NAME?</v>
      </c>
      <c r="X60" t="e">
        <f t="shared" si="1413"/>
        <v>#NAME?</v>
      </c>
      <c r="Y60" t="e">
        <f t="shared" si="1414"/>
        <v>#NAME?</v>
      </c>
      <c r="Z60" t="e">
        <f t="shared" si="1402"/>
        <v>#NAME?</v>
      </c>
      <c r="AA60" t="e">
        <f t="shared" si="1415"/>
        <v>#NAME?</v>
      </c>
      <c r="AB60" t="e">
        <f t="shared" si="1416"/>
        <v>#NAME?</v>
      </c>
      <c r="AD60">
        <f t="shared" si="1420"/>
        <v>57</v>
      </c>
      <c r="AE60">
        <f t="shared" si="1417"/>
        <v>8.7639760975280598</v>
      </c>
    </row>
    <row r="61">
      <c r="A61">
        <f t="shared" si="1418"/>
        <v>58</v>
      </c>
      <c r="B61">
        <v>10.607632270250908</v>
      </c>
      <c r="D61">
        <f t="shared" si="1419"/>
        <v>58</v>
      </c>
      <c r="E61" t="e">
        <f t="shared" si="1410"/>
        <v>#NAME?</v>
      </c>
      <c r="F61" t="e">
        <f t="shared" si="1421"/>
        <v>#NAME?</v>
      </c>
      <c r="V61">
        <f t="shared" si="1411"/>
        <v>58</v>
      </c>
      <c r="W61" t="e">
        <f t="shared" si="1412"/>
        <v>#NAME?</v>
      </c>
      <c r="X61" t="e">
        <f t="shared" si="1413"/>
        <v>#NAME?</v>
      </c>
      <c r="Y61" t="e">
        <f t="shared" si="1414"/>
        <v>#NAME?</v>
      </c>
      <c r="Z61" t="e">
        <f t="shared" si="1402"/>
        <v>#NAME?</v>
      </c>
      <c r="AA61" t="e">
        <f t="shared" si="1415"/>
        <v>#NAME?</v>
      </c>
      <c r="AB61" t="e">
        <f t="shared" si="1416"/>
        <v>#NAME?</v>
      </c>
      <c r="AD61">
        <f t="shared" si="1420"/>
        <v>58</v>
      </c>
      <c r="AE61">
        <f t="shared" si="1417"/>
        <v>10.6076322702509</v>
      </c>
    </row>
    <row r="62">
      <c r="A62">
        <f t="shared" si="1418"/>
        <v>59</v>
      </c>
      <c r="B62">
        <v>8.8462843661117905</v>
      </c>
      <c r="D62">
        <f t="shared" si="1419"/>
        <v>59</v>
      </c>
      <c r="E62" t="e">
        <f t="shared" si="1410"/>
        <v>#NAME?</v>
      </c>
      <c r="F62" t="e">
        <f t="shared" si="1421"/>
        <v>#NAME?</v>
      </c>
      <c r="V62">
        <f t="shared" si="1411"/>
        <v>59</v>
      </c>
      <c r="W62" t="e">
        <f t="shared" si="1412"/>
        <v>#NAME?</v>
      </c>
      <c r="X62" t="e">
        <f t="shared" si="1413"/>
        <v>#NAME?</v>
      </c>
      <c r="Y62" t="e">
        <f t="shared" si="1414"/>
        <v>#NAME?</v>
      </c>
      <c r="Z62" t="e">
        <f t="shared" si="1402"/>
        <v>#NAME?</v>
      </c>
      <c r="AA62" t="e">
        <f t="shared" si="1415"/>
        <v>#NAME?</v>
      </c>
      <c r="AB62" t="e">
        <f t="shared" si="1416"/>
        <v>#NAME?</v>
      </c>
      <c r="AD62">
        <f t="shared" si="1420"/>
        <v>59</v>
      </c>
      <c r="AE62">
        <f t="shared" si="1417"/>
        <v>8.8462843661117905</v>
      </c>
    </row>
    <row r="63">
      <c r="A63">
        <f t="shared" si="1418"/>
        <v>60</v>
      </c>
      <c r="B63">
        <v>8.197430472078814</v>
      </c>
      <c r="D63">
        <f t="shared" si="1419"/>
        <v>60</v>
      </c>
      <c r="E63" t="e">
        <f t="shared" si="1410"/>
        <v>#NAME?</v>
      </c>
      <c r="F63" t="e">
        <f t="shared" si="1421"/>
        <v>#NAME?</v>
      </c>
      <c r="V63">
        <f t="shared" si="1411"/>
        <v>60</v>
      </c>
      <c r="W63" t="e">
        <f t="shared" si="1412"/>
        <v>#NAME?</v>
      </c>
      <c r="X63" t="e">
        <f t="shared" si="1413"/>
        <v>#NAME?</v>
      </c>
      <c r="Y63" t="e">
        <f t="shared" si="1414"/>
        <v>#NAME?</v>
      </c>
      <c r="Z63" t="e">
        <f t="shared" si="1402"/>
        <v>#NAME?</v>
      </c>
      <c r="AA63" t="e">
        <f t="shared" si="1415"/>
        <v>#NAME?</v>
      </c>
      <c r="AB63" t="e">
        <f t="shared" si="1416"/>
        <v>#NAME?</v>
      </c>
      <c r="AD63">
        <f t="shared" si="1420"/>
        <v>60</v>
      </c>
      <c r="AE63">
        <f t="shared" si="1417"/>
        <v>8.1974304720788194</v>
      </c>
    </row>
    <row r="64">
      <c r="A64">
        <f t="shared" si="1418"/>
        <v>61</v>
      </c>
      <c r="B64">
        <v>9.7004678107933984</v>
      </c>
      <c r="D64">
        <f t="shared" si="1419"/>
        <v>61</v>
      </c>
      <c r="E64" t="e">
        <f t="shared" si="1410"/>
        <v>#NAME?</v>
      </c>
      <c r="F64" t="e">
        <f t="shared" si="1421"/>
        <v>#NAME?</v>
      </c>
      <c r="V64">
        <f t="shared" si="1411"/>
        <v>61</v>
      </c>
      <c r="W64" t="e">
        <f t="shared" si="1412"/>
        <v>#NAME?</v>
      </c>
      <c r="X64" t="e">
        <f t="shared" si="1413"/>
        <v>#NAME?</v>
      </c>
      <c r="Y64" t="e">
        <f t="shared" si="1414"/>
        <v>#NAME?</v>
      </c>
      <c r="Z64" t="e">
        <f t="shared" si="1402"/>
        <v>#NAME?</v>
      </c>
      <c r="AA64" t="e">
        <f t="shared" si="1415"/>
        <v>#NAME?</v>
      </c>
      <c r="AB64" t="e">
        <f t="shared" si="1416"/>
        <v>#NAME?</v>
      </c>
      <c r="AD64">
        <f t="shared" si="1420"/>
        <v>61</v>
      </c>
      <c r="AE64">
        <f t="shared" si="1417"/>
        <v>9.7004678107934001</v>
      </c>
    </row>
    <row r="65">
      <c r="A65">
        <f t="shared" si="1418"/>
        <v>62</v>
      </c>
      <c r="B65">
        <v>9.4988084630262417</v>
      </c>
      <c r="D65">
        <f t="shared" si="1419"/>
        <v>62</v>
      </c>
      <c r="E65" t="e">
        <f t="shared" si="1410"/>
        <v>#NAME?</v>
      </c>
      <c r="F65" t="e">
        <f t="shared" si="1421"/>
        <v>#NAME?</v>
      </c>
      <c r="V65">
        <f t="shared" si="1411"/>
        <v>62</v>
      </c>
      <c r="W65" t="e">
        <f t="shared" si="1412"/>
        <v>#NAME?</v>
      </c>
      <c r="X65" t="e">
        <f t="shared" si="1413"/>
        <v>#NAME?</v>
      </c>
      <c r="Y65" t="e">
        <f t="shared" si="1414"/>
        <v>#NAME?</v>
      </c>
      <c r="Z65" t="e">
        <f t="shared" si="1402"/>
        <v>#NAME?</v>
      </c>
      <c r="AA65" t="e">
        <f t="shared" si="1415"/>
        <v>#NAME?</v>
      </c>
      <c r="AB65" t="e">
        <f t="shared" si="1416"/>
        <v>#NAME?</v>
      </c>
      <c r="AD65">
        <f t="shared" si="1420"/>
        <v>62</v>
      </c>
      <c r="AE65">
        <f t="shared" si="1417"/>
        <v>9.4988084630262399</v>
      </c>
    </row>
    <row r="66">
      <c r="A66">
        <f t="shared" si="1418"/>
        <v>63</v>
      </c>
      <c r="B66">
        <v>9.7003857789385926</v>
      </c>
      <c r="D66">
        <f t="shared" si="1419"/>
        <v>63</v>
      </c>
      <c r="E66" t="e">
        <f t="shared" si="1410"/>
        <v>#NAME?</v>
      </c>
      <c r="F66" t="e">
        <f t="shared" si="1421"/>
        <v>#NAME?</v>
      </c>
      <c r="V66">
        <f t="shared" si="1411"/>
        <v>63</v>
      </c>
      <c r="W66" t="e">
        <f t="shared" si="1412"/>
        <v>#NAME?</v>
      </c>
      <c r="X66" t="e">
        <f t="shared" si="1413"/>
        <v>#NAME?</v>
      </c>
      <c r="Y66" t="e">
        <f t="shared" si="1414"/>
        <v>#NAME?</v>
      </c>
      <c r="Z66" t="e">
        <f t="shared" si="1402"/>
        <v>#NAME?</v>
      </c>
      <c r="AA66" t="e">
        <f t="shared" si="1415"/>
        <v>#NAME?</v>
      </c>
      <c r="AB66" t="e">
        <f t="shared" si="1416"/>
        <v>#NAME?</v>
      </c>
      <c r="AD66">
        <f t="shared" si="1420"/>
        <v>63</v>
      </c>
      <c r="AE66">
        <f t="shared" si="1417"/>
        <v>9.7003857789385908</v>
      </c>
    </row>
    <row r="67">
      <c r="A67">
        <f t="shared" si="1418"/>
        <v>64</v>
      </c>
      <c r="B67">
        <v>9.8196279939384326</v>
      </c>
      <c r="D67">
        <f t="shared" si="1419"/>
        <v>64</v>
      </c>
      <c r="E67" t="e">
        <f t="shared" si="1410"/>
        <v>#NAME?</v>
      </c>
      <c r="F67" t="e">
        <f t="shared" si="1421"/>
        <v>#NAME?</v>
      </c>
      <c r="V67">
        <f t="shared" si="1411"/>
        <v>64</v>
      </c>
      <c r="W67" t="e">
        <f t="shared" si="1412"/>
        <v>#NAME?</v>
      </c>
      <c r="X67" t="e">
        <f t="shared" si="1413"/>
        <v>#NAME?</v>
      </c>
      <c r="Y67" t="e">
        <f t="shared" si="1414"/>
        <v>#NAME?</v>
      </c>
      <c r="Z67" t="e">
        <f t="shared" si="1402"/>
        <v>#NAME?</v>
      </c>
      <c r="AA67" t="e">
        <f t="shared" si="1415"/>
        <v>#NAME?</v>
      </c>
      <c r="AB67" t="e">
        <f t="shared" si="1416"/>
        <v>#NAME?</v>
      </c>
      <c r="AD67">
        <f t="shared" si="1420"/>
        <v>64</v>
      </c>
      <c r="AE67">
        <f t="shared" si="1417"/>
        <v>9.8196279939384308</v>
      </c>
    </row>
    <row r="68">
      <c r="A68">
        <f t="shared" si="1418"/>
        <v>65</v>
      </c>
      <c r="B68">
        <v>12.357045585234705</v>
      </c>
      <c r="D68">
        <f t="shared" si="1419"/>
        <v>65</v>
      </c>
      <c r="E68" t="e">
        <f t="shared" si="1410"/>
        <v>#NAME?</v>
      </c>
      <c r="F68" t="e">
        <f t="shared" si="1421"/>
        <v>#NAME?</v>
      </c>
      <c r="V68">
        <f t="shared" si="1411"/>
        <v>65</v>
      </c>
      <c r="W68" t="e">
        <f t="shared" si="1412"/>
        <v>#NAME?</v>
      </c>
      <c r="X68" t="e">
        <f t="shared" si="1413"/>
        <v>#NAME?</v>
      </c>
      <c r="Y68" t="e">
        <f t="shared" si="1414"/>
        <v>#NAME?</v>
      </c>
      <c r="Z68" t="e">
        <f t="shared" ref="Z68:Z107" si="1423">J$15</f>
        <v>#NAME?</v>
      </c>
      <c r="AA68" t="e">
        <f t="shared" si="1415"/>
        <v>#NAME?</v>
      </c>
      <c r="AB68" t="e">
        <f t="shared" si="1416"/>
        <v>#NAME?</v>
      </c>
      <c r="AD68">
        <f t="shared" si="1420"/>
        <v>65</v>
      </c>
      <c r="AE68">
        <f t="shared" si="1417"/>
        <v>12.357045585234699</v>
      </c>
    </row>
    <row r="69">
      <c r="A69">
        <f t="shared" si="1418"/>
        <v>66</v>
      </c>
      <c r="B69">
        <v>10.923604414101041</v>
      </c>
      <c r="D69">
        <f t="shared" si="1419"/>
        <v>66</v>
      </c>
      <c r="E69" t="e">
        <f t="shared" si="1410"/>
        <v>#NAME?</v>
      </c>
      <c r="F69" t="e">
        <f t="shared" si="1421"/>
        <v>#NAME?</v>
      </c>
      <c r="V69">
        <f t="shared" si="1411"/>
        <v>66</v>
      </c>
      <c r="W69" t="e">
        <f t="shared" si="1412"/>
        <v>#NAME?</v>
      </c>
      <c r="X69" t="e">
        <f t="shared" si="1413"/>
        <v>#NAME?</v>
      </c>
      <c r="Y69" t="e">
        <f t="shared" si="1414"/>
        <v>#NAME?</v>
      </c>
      <c r="Z69" t="e">
        <f t="shared" si="1423"/>
        <v>#NAME?</v>
      </c>
      <c r="AA69" t="e">
        <f t="shared" si="1415"/>
        <v>#NAME?</v>
      </c>
      <c r="AB69" t="e">
        <f t="shared" si="1416"/>
        <v>#NAME?</v>
      </c>
      <c r="AD69">
        <f t="shared" si="1420"/>
        <v>66</v>
      </c>
      <c r="AE69">
        <f t="shared" si="1417"/>
        <v>10.923604414101</v>
      </c>
    </row>
    <row r="70">
      <c r="A70">
        <f t="shared" si="1418"/>
        <v>67</v>
      </c>
      <c r="B70">
        <v>9.7007658466065791</v>
      </c>
      <c r="D70">
        <f t="shared" si="1419"/>
        <v>67</v>
      </c>
      <c r="E70" t="e">
        <f t="shared" si="1410"/>
        <v>#NAME?</v>
      </c>
      <c r="F70" t="e">
        <f t="shared" si="1421"/>
        <v>#NAME?</v>
      </c>
      <c r="V70">
        <f t="shared" si="1411"/>
        <v>67</v>
      </c>
      <c r="W70" t="e">
        <f t="shared" si="1412"/>
        <v>#NAME?</v>
      </c>
      <c r="X70" t="e">
        <f t="shared" si="1413"/>
        <v>#NAME?</v>
      </c>
      <c r="Y70" t="e">
        <f t="shared" si="1414"/>
        <v>#NAME?</v>
      </c>
      <c r="Z70" t="e">
        <f t="shared" si="1423"/>
        <v>#NAME?</v>
      </c>
      <c r="AA70" t="e">
        <f t="shared" si="1415"/>
        <v>#NAME?</v>
      </c>
      <c r="AB70" t="e">
        <f t="shared" si="1416"/>
        <v>#NAME?</v>
      </c>
      <c r="AD70">
        <f t="shared" si="1420"/>
        <v>67</v>
      </c>
      <c r="AE70">
        <f t="shared" si="1417"/>
        <v>9.7007658466065791</v>
      </c>
    </row>
    <row r="71">
      <c r="A71">
        <f t="shared" si="1418"/>
        <v>68</v>
      </c>
      <c r="B71">
        <v>10.274161064714082</v>
      </c>
      <c r="D71">
        <f t="shared" si="1419"/>
        <v>68</v>
      </c>
      <c r="E71" t="e">
        <f t="shared" si="1410"/>
        <v>#NAME?</v>
      </c>
      <c r="F71" t="e">
        <f t="shared" si="1421"/>
        <v>#NAME?</v>
      </c>
      <c r="V71">
        <f t="shared" si="1411"/>
        <v>68</v>
      </c>
      <c r="W71" t="e">
        <f t="shared" si="1412"/>
        <v>#NAME?</v>
      </c>
      <c r="X71" t="e">
        <f t="shared" si="1413"/>
        <v>#NAME?</v>
      </c>
      <c r="Y71" t="e">
        <f t="shared" si="1414"/>
        <v>#NAME?</v>
      </c>
      <c r="Z71" t="e">
        <f t="shared" si="1423"/>
        <v>#NAME?</v>
      </c>
      <c r="AA71" t="e">
        <f t="shared" si="1415"/>
        <v>#NAME?</v>
      </c>
      <c r="AB71" t="e">
        <f t="shared" si="1416"/>
        <v>#NAME?</v>
      </c>
      <c r="AD71">
        <f t="shared" si="1420"/>
        <v>68</v>
      </c>
      <c r="AE71">
        <f t="shared" si="1417"/>
        <v>10.2741610647141</v>
      </c>
    </row>
    <row r="72">
      <c r="A72">
        <f t="shared" si="1418"/>
        <v>69</v>
      </c>
      <c r="B72">
        <v>9.7560808735559998</v>
      </c>
      <c r="D72">
        <f t="shared" si="1419"/>
        <v>69</v>
      </c>
      <c r="E72" t="e">
        <f t="shared" si="1410"/>
        <v>#NAME?</v>
      </c>
      <c r="F72" t="e">
        <f t="shared" si="1421"/>
        <v>#NAME?</v>
      </c>
      <c r="V72">
        <f t="shared" si="1411"/>
        <v>69</v>
      </c>
      <c r="W72" t="e">
        <f t="shared" si="1412"/>
        <v>#NAME?</v>
      </c>
      <c r="X72" t="e">
        <f t="shared" si="1413"/>
        <v>#NAME?</v>
      </c>
      <c r="Y72" t="e">
        <f t="shared" si="1414"/>
        <v>#NAME?</v>
      </c>
      <c r="Z72" t="e">
        <f t="shared" si="1423"/>
        <v>#NAME?</v>
      </c>
      <c r="AA72" t="e">
        <f t="shared" si="1415"/>
        <v>#NAME?</v>
      </c>
      <c r="AB72" t="e">
        <f t="shared" si="1416"/>
        <v>#NAME?</v>
      </c>
      <c r="AD72">
        <f t="shared" si="1420"/>
        <v>69</v>
      </c>
      <c r="AE72">
        <f t="shared" si="1417"/>
        <v>9.7560808735559998</v>
      </c>
    </row>
    <row r="73">
      <c r="A73">
        <f t="shared" si="1418"/>
        <v>70</v>
      </c>
      <c r="B73">
        <v>9.2877318420515778</v>
      </c>
      <c r="D73">
        <f t="shared" si="1419"/>
        <v>70</v>
      </c>
      <c r="E73" t="e">
        <f t="shared" si="1410"/>
        <v>#NAME?</v>
      </c>
      <c r="F73" t="e">
        <f t="shared" si="1421"/>
        <v>#NAME?</v>
      </c>
      <c r="V73">
        <f t="shared" si="1411"/>
        <v>70</v>
      </c>
      <c r="W73" t="e">
        <f t="shared" si="1412"/>
        <v>#NAME?</v>
      </c>
      <c r="X73" t="e">
        <f t="shared" si="1413"/>
        <v>#NAME?</v>
      </c>
      <c r="Y73" t="e">
        <f t="shared" si="1414"/>
        <v>#NAME?</v>
      </c>
      <c r="Z73" t="e">
        <f t="shared" si="1423"/>
        <v>#NAME?</v>
      </c>
      <c r="AA73" t="e">
        <f t="shared" si="1415"/>
        <v>#NAME?</v>
      </c>
      <c r="AB73" t="e">
        <f t="shared" si="1416"/>
        <v>#NAME?</v>
      </c>
      <c r="AD73">
        <f t="shared" si="1420"/>
        <v>70</v>
      </c>
      <c r="AE73">
        <f t="shared" si="1417"/>
        <v>9.2877318420515795</v>
      </c>
    </row>
    <row r="74">
      <c r="A74">
        <f t="shared" si="1418"/>
        <v>71</v>
      </c>
      <c r="B74">
        <v>8.7948076969057745</v>
      </c>
      <c r="D74">
        <f t="shared" si="1419"/>
        <v>71</v>
      </c>
      <c r="E74" t="e">
        <f t="shared" ref="E74:E98" si="1424">B75-B74-J$6</f>
        <v>#NAME?</v>
      </c>
      <c r="F74" t="e">
        <f t="shared" si="1421"/>
        <v>#NAME?</v>
      </c>
      <c r="V74">
        <f t="shared" ref="V74:V99" si="1425">D74</f>
        <v>71</v>
      </c>
      <c r="W74" t="e">
        <f t="shared" ref="W74:W99" si="1426">E74</f>
        <v>#NAME?</v>
      </c>
      <c r="X74" t="e">
        <f t="shared" ref="X74:X99" si="1427">F74</f>
        <v>#NAME?</v>
      </c>
      <c r="Y74" t="e">
        <f t="shared" ref="Y74:Y99" si="1428">W74-X74</f>
        <v>#NAME?</v>
      </c>
      <c r="Z74" t="e">
        <f t="shared" si="1423"/>
        <v>#NAME?</v>
      </c>
      <c r="AA74" t="e">
        <f t="shared" ref="AA74:AA99" si="1429">Y74-NORMSINV(1-Z$2/2)*Z74</f>
        <v>#NAME?</v>
      </c>
      <c r="AB74" t="e">
        <f t="shared" ref="AB74:AB99" si="1430">Y74+NORMSINV(1-Z$2/2)*Z74</f>
        <v>#NAME?</v>
      </c>
      <c r="AD74">
        <f t="shared" si="1420"/>
        <v>71</v>
      </c>
      <c r="AE74">
        <f t="shared" ref="AE74:AE99" si="1431">B74</f>
        <v>8.7948076969057798</v>
      </c>
    </row>
    <row r="75">
      <c r="A75">
        <f t="shared" ref="A75:A100" si="1432">A74+1</f>
        <v>72</v>
      </c>
      <c r="B75">
        <v>9.9521659452576507</v>
      </c>
      <c r="D75">
        <f t="shared" ref="D75:D100" si="1433">D74+1</f>
        <v>72</v>
      </c>
      <c r="E75" t="e">
        <f t="shared" si="1424"/>
        <v>#NAME?</v>
      </c>
      <c r="F75" t="e">
        <f t="shared" si="1421"/>
        <v>#NAME?</v>
      </c>
      <c r="V75">
        <f t="shared" si="1425"/>
        <v>72</v>
      </c>
      <c r="W75" t="e">
        <f t="shared" si="1426"/>
        <v>#NAME?</v>
      </c>
      <c r="X75" t="e">
        <f t="shared" si="1427"/>
        <v>#NAME?</v>
      </c>
      <c r="Y75" t="e">
        <f t="shared" si="1428"/>
        <v>#NAME?</v>
      </c>
      <c r="Z75" t="e">
        <f t="shared" si="1423"/>
        <v>#NAME?</v>
      </c>
      <c r="AA75" t="e">
        <f t="shared" si="1429"/>
        <v>#NAME?</v>
      </c>
      <c r="AB75" t="e">
        <f t="shared" si="1430"/>
        <v>#NAME?</v>
      </c>
      <c r="AD75">
        <f t="shared" ref="AD75:AD100" si="1434">AD74+1</f>
        <v>72</v>
      </c>
      <c r="AE75">
        <f t="shared" si="1431"/>
        <v>9.9521659452576507</v>
      </c>
    </row>
    <row r="76">
      <c r="A76">
        <f t="shared" si="1432"/>
        <v>73</v>
      </c>
      <c r="B76">
        <v>9.1465177932835449</v>
      </c>
      <c r="D76">
        <f t="shared" si="1433"/>
        <v>73</v>
      </c>
      <c r="E76" t="e">
        <f t="shared" si="1424"/>
        <v>#NAME?</v>
      </c>
      <c r="F76" t="e">
        <f t="shared" ref="F76:F99" si="1435">E76-SUMPRODUCT(E74:E75,I$4:I$5)-SUMPRODUCT(F75,J$5)</f>
        <v>#NAME?</v>
      </c>
      <c r="V76">
        <f t="shared" si="1425"/>
        <v>73</v>
      </c>
      <c r="W76" t="e">
        <f t="shared" si="1426"/>
        <v>#NAME?</v>
      </c>
      <c r="X76" t="e">
        <f t="shared" si="1427"/>
        <v>#NAME?</v>
      </c>
      <c r="Y76" t="e">
        <f t="shared" si="1428"/>
        <v>#NAME?</v>
      </c>
      <c r="Z76" t="e">
        <f t="shared" si="1423"/>
        <v>#NAME?</v>
      </c>
      <c r="AA76" t="e">
        <f t="shared" si="1429"/>
        <v>#NAME?</v>
      </c>
      <c r="AB76" t="e">
        <f t="shared" si="1430"/>
        <v>#NAME?</v>
      </c>
      <c r="AD76">
        <f t="shared" si="1434"/>
        <v>73</v>
      </c>
      <c r="AE76">
        <f t="shared" si="1431"/>
        <v>9.1465177932835502</v>
      </c>
    </row>
    <row r="77">
      <c r="A77">
        <f t="shared" si="1432"/>
        <v>74</v>
      </c>
      <c r="B77">
        <v>8.4120728228094741</v>
      </c>
      <c r="D77">
        <f t="shared" si="1433"/>
        <v>74</v>
      </c>
      <c r="E77" t="e">
        <f t="shared" si="1424"/>
        <v>#NAME?</v>
      </c>
      <c r="F77" t="e">
        <f t="shared" si="1435"/>
        <v>#NAME?</v>
      </c>
      <c r="V77">
        <f t="shared" si="1425"/>
        <v>74</v>
      </c>
      <c r="W77" t="e">
        <f t="shared" si="1426"/>
        <v>#NAME?</v>
      </c>
      <c r="X77" t="e">
        <f t="shared" si="1427"/>
        <v>#NAME?</v>
      </c>
      <c r="Y77" t="e">
        <f t="shared" si="1428"/>
        <v>#NAME?</v>
      </c>
      <c r="Z77" t="e">
        <f t="shared" si="1423"/>
        <v>#NAME?</v>
      </c>
      <c r="AA77" t="e">
        <f t="shared" si="1429"/>
        <v>#NAME?</v>
      </c>
      <c r="AB77" t="e">
        <f t="shared" si="1430"/>
        <v>#NAME?</v>
      </c>
      <c r="AD77">
        <f t="shared" si="1434"/>
        <v>74</v>
      </c>
      <c r="AE77">
        <f t="shared" si="1431"/>
        <v>8.4120728228094794</v>
      </c>
    </row>
    <row r="78">
      <c r="A78">
        <f t="shared" si="1432"/>
        <v>75</v>
      </c>
      <c r="B78">
        <v>9.7238473406247508</v>
      </c>
      <c r="D78">
        <f t="shared" si="1433"/>
        <v>75</v>
      </c>
      <c r="E78" t="e">
        <f t="shared" si="1424"/>
        <v>#NAME?</v>
      </c>
      <c r="F78" t="e">
        <f t="shared" si="1435"/>
        <v>#NAME?</v>
      </c>
      <c r="V78">
        <f t="shared" si="1425"/>
        <v>75</v>
      </c>
      <c r="W78" t="e">
        <f t="shared" si="1426"/>
        <v>#NAME?</v>
      </c>
      <c r="X78" t="e">
        <f t="shared" si="1427"/>
        <v>#NAME?</v>
      </c>
      <c r="Y78" t="e">
        <f t="shared" si="1428"/>
        <v>#NAME?</v>
      </c>
      <c r="Z78" t="e">
        <f t="shared" si="1423"/>
        <v>#NAME?</v>
      </c>
      <c r="AA78" t="e">
        <f t="shared" si="1429"/>
        <v>#NAME?</v>
      </c>
      <c r="AB78" t="e">
        <f t="shared" si="1430"/>
        <v>#NAME?</v>
      </c>
      <c r="AD78">
        <f t="shared" si="1434"/>
        <v>75</v>
      </c>
      <c r="AE78">
        <f t="shared" si="1431"/>
        <v>9.7238473406247508</v>
      </c>
    </row>
    <row r="79">
      <c r="A79">
        <f t="shared" si="1432"/>
        <v>76</v>
      </c>
      <c r="B79">
        <v>8.4487887533605956</v>
      </c>
      <c r="D79">
        <f t="shared" si="1433"/>
        <v>76</v>
      </c>
      <c r="E79" t="e">
        <f t="shared" si="1424"/>
        <v>#NAME?</v>
      </c>
      <c r="F79" t="e">
        <f t="shared" si="1435"/>
        <v>#NAME?</v>
      </c>
      <c r="V79">
        <f t="shared" si="1425"/>
        <v>76</v>
      </c>
      <c r="W79" t="e">
        <f t="shared" si="1426"/>
        <v>#NAME?</v>
      </c>
      <c r="X79" t="e">
        <f t="shared" si="1427"/>
        <v>#NAME?</v>
      </c>
      <c r="Y79" t="e">
        <f t="shared" si="1428"/>
        <v>#NAME?</v>
      </c>
      <c r="Z79" t="e">
        <f t="shared" si="1423"/>
        <v>#NAME?</v>
      </c>
      <c r="AA79" t="e">
        <f t="shared" si="1429"/>
        <v>#NAME?</v>
      </c>
      <c r="AB79" t="e">
        <f t="shared" si="1430"/>
        <v>#NAME?</v>
      </c>
      <c r="AD79">
        <f t="shared" si="1434"/>
        <v>76</v>
      </c>
      <c r="AE79">
        <f t="shared" si="1431"/>
        <v>8.4487887533605992</v>
      </c>
    </row>
    <row r="80">
      <c r="A80">
        <f t="shared" si="1432"/>
        <v>77</v>
      </c>
      <c r="B80">
        <v>9.3091696279858969</v>
      </c>
      <c r="D80">
        <f t="shared" si="1433"/>
        <v>77</v>
      </c>
      <c r="E80" t="e">
        <f t="shared" si="1424"/>
        <v>#NAME?</v>
      </c>
      <c r="F80" t="e">
        <f t="shared" si="1435"/>
        <v>#NAME?</v>
      </c>
      <c r="V80">
        <f t="shared" si="1425"/>
        <v>77</v>
      </c>
      <c r="W80" t="e">
        <f t="shared" si="1426"/>
        <v>#NAME?</v>
      </c>
      <c r="X80" t="e">
        <f t="shared" si="1427"/>
        <v>#NAME?</v>
      </c>
      <c r="Y80" t="e">
        <f t="shared" si="1428"/>
        <v>#NAME?</v>
      </c>
      <c r="Z80" t="e">
        <f t="shared" si="1423"/>
        <v>#NAME?</v>
      </c>
      <c r="AA80" t="e">
        <f t="shared" si="1429"/>
        <v>#NAME?</v>
      </c>
      <c r="AB80" t="e">
        <f t="shared" si="1430"/>
        <v>#NAME?</v>
      </c>
      <c r="AD80">
        <f t="shared" si="1434"/>
        <v>77</v>
      </c>
      <c r="AE80">
        <f t="shared" si="1431"/>
        <v>9.3091696279859004</v>
      </c>
    </row>
    <row r="81">
      <c r="A81">
        <f t="shared" si="1432"/>
        <v>78</v>
      </c>
      <c r="B81">
        <v>9.6290950722323778</v>
      </c>
      <c r="D81">
        <f t="shared" si="1433"/>
        <v>78</v>
      </c>
      <c r="E81" t="e">
        <f t="shared" si="1424"/>
        <v>#NAME?</v>
      </c>
      <c r="F81" t="e">
        <f t="shared" si="1435"/>
        <v>#NAME?</v>
      </c>
      <c r="V81">
        <f t="shared" si="1425"/>
        <v>78</v>
      </c>
      <c r="W81" t="e">
        <f t="shared" si="1426"/>
        <v>#NAME?</v>
      </c>
      <c r="X81" t="e">
        <f t="shared" si="1427"/>
        <v>#NAME?</v>
      </c>
      <c r="Y81" t="e">
        <f t="shared" si="1428"/>
        <v>#NAME?</v>
      </c>
      <c r="Z81" t="e">
        <f t="shared" si="1423"/>
        <v>#NAME?</v>
      </c>
      <c r="AA81" t="e">
        <f t="shared" si="1429"/>
        <v>#NAME?</v>
      </c>
      <c r="AB81" t="e">
        <f t="shared" si="1430"/>
        <v>#NAME?</v>
      </c>
      <c r="AD81">
        <f t="shared" si="1434"/>
        <v>78</v>
      </c>
      <c r="AE81">
        <f t="shared" si="1431"/>
        <v>9.6290950722323796</v>
      </c>
    </row>
    <row r="82">
      <c r="A82">
        <f t="shared" si="1432"/>
        <v>79</v>
      </c>
      <c r="B82">
        <v>10.498754342121549</v>
      </c>
      <c r="D82">
        <f t="shared" si="1433"/>
        <v>79</v>
      </c>
      <c r="E82" t="e">
        <f t="shared" si="1424"/>
        <v>#NAME?</v>
      </c>
      <c r="F82" t="e">
        <f t="shared" si="1435"/>
        <v>#NAME?</v>
      </c>
      <c r="V82">
        <f t="shared" si="1425"/>
        <v>79</v>
      </c>
      <c r="W82" t="e">
        <f t="shared" si="1426"/>
        <v>#NAME?</v>
      </c>
      <c r="X82" t="e">
        <f t="shared" si="1427"/>
        <v>#NAME?</v>
      </c>
      <c r="Y82" t="e">
        <f t="shared" si="1428"/>
        <v>#NAME?</v>
      </c>
      <c r="Z82" t="e">
        <f t="shared" si="1423"/>
        <v>#NAME?</v>
      </c>
      <c r="AA82" t="e">
        <f t="shared" si="1429"/>
        <v>#NAME?</v>
      </c>
      <c r="AB82" t="e">
        <f t="shared" si="1430"/>
        <v>#NAME?</v>
      </c>
      <c r="AD82">
        <f t="shared" si="1434"/>
        <v>79</v>
      </c>
      <c r="AE82">
        <f t="shared" si="1431"/>
        <v>10.4987543421216</v>
      </c>
    </row>
    <row r="83">
      <c r="A83">
        <f t="shared" si="1432"/>
        <v>80</v>
      </c>
      <c r="B83">
        <v>8.1345560346257617</v>
      </c>
      <c r="D83">
        <f t="shared" si="1433"/>
        <v>80</v>
      </c>
      <c r="E83" t="e">
        <f t="shared" si="1424"/>
        <v>#NAME?</v>
      </c>
      <c r="F83" t="e">
        <f t="shared" si="1435"/>
        <v>#NAME?</v>
      </c>
      <c r="V83">
        <f t="shared" si="1425"/>
        <v>80</v>
      </c>
      <c r="W83" t="e">
        <f t="shared" si="1426"/>
        <v>#NAME?</v>
      </c>
      <c r="X83" t="e">
        <f t="shared" si="1427"/>
        <v>#NAME?</v>
      </c>
      <c r="Y83" t="e">
        <f t="shared" si="1428"/>
        <v>#NAME?</v>
      </c>
      <c r="Z83" t="e">
        <f t="shared" si="1423"/>
        <v>#NAME?</v>
      </c>
      <c r="AA83" t="e">
        <f t="shared" si="1429"/>
        <v>#NAME?</v>
      </c>
      <c r="AB83" t="e">
        <f t="shared" si="1430"/>
        <v>#NAME?</v>
      </c>
      <c r="AD83">
        <f t="shared" si="1434"/>
        <v>80</v>
      </c>
      <c r="AE83">
        <f t="shared" si="1431"/>
        <v>8.1345560346257599</v>
      </c>
    </row>
    <row r="84">
      <c r="A84">
        <f t="shared" si="1432"/>
        <v>81</v>
      </c>
      <c r="B84">
        <v>9.155183562363236</v>
      </c>
      <c r="D84">
        <f t="shared" si="1433"/>
        <v>81</v>
      </c>
      <c r="E84" t="e">
        <f t="shared" si="1424"/>
        <v>#NAME?</v>
      </c>
      <c r="F84" t="e">
        <f t="shared" si="1435"/>
        <v>#NAME?</v>
      </c>
      <c r="V84">
        <f t="shared" si="1425"/>
        <v>81</v>
      </c>
      <c r="W84" t="e">
        <f t="shared" si="1426"/>
        <v>#NAME?</v>
      </c>
      <c r="X84" t="e">
        <f t="shared" si="1427"/>
        <v>#NAME?</v>
      </c>
      <c r="Y84" t="e">
        <f t="shared" si="1428"/>
        <v>#NAME?</v>
      </c>
      <c r="Z84" t="e">
        <f t="shared" si="1423"/>
        <v>#NAME?</v>
      </c>
      <c r="AA84" t="e">
        <f t="shared" si="1429"/>
        <v>#NAME?</v>
      </c>
      <c r="AB84" t="e">
        <f t="shared" si="1430"/>
        <v>#NAME?</v>
      </c>
      <c r="AD84">
        <f t="shared" si="1434"/>
        <v>81</v>
      </c>
      <c r="AE84">
        <f t="shared" si="1431"/>
        <v>9.1551835623632396</v>
      </c>
    </row>
    <row r="85">
      <c r="A85">
        <f t="shared" si="1432"/>
        <v>82</v>
      </c>
      <c r="B85">
        <v>7.9920854400738497</v>
      </c>
      <c r="D85">
        <f t="shared" si="1433"/>
        <v>82</v>
      </c>
      <c r="E85" t="e">
        <f t="shared" si="1424"/>
        <v>#NAME?</v>
      </c>
      <c r="F85" t="e">
        <f t="shared" si="1435"/>
        <v>#NAME?</v>
      </c>
      <c r="V85">
        <f t="shared" si="1425"/>
        <v>82</v>
      </c>
      <c r="W85" t="e">
        <f t="shared" si="1426"/>
        <v>#NAME?</v>
      </c>
      <c r="X85" t="e">
        <f t="shared" si="1427"/>
        <v>#NAME?</v>
      </c>
      <c r="Y85" t="e">
        <f t="shared" si="1428"/>
        <v>#NAME?</v>
      </c>
      <c r="Z85" t="e">
        <f t="shared" si="1423"/>
        <v>#NAME?</v>
      </c>
      <c r="AA85" t="e">
        <f t="shared" si="1429"/>
        <v>#NAME?</v>
      </c>
      <c r="AB85" t="e">
        <f t="shared" si="1430"/>
        <v>#NAME?</v>
      </c>
      <c r="AD85">
        <f t="shared" si="1434"/>
        <v>82</v>
      </c>
      <c r="AE85">
        <f t="shared" si="1431"/>
        <v>7.9920854400738497</v>
      </c>
    </row>
    <row r="86">
      <c r="A86">
        <f t="shared" si="1432"/>
        <v>83</v>
      </c>
      <c r="B86">
        <v>10.439526996669359</v>
      </c>
      <c r="D86">
        <f t="shared" si="1433"/>
        <v>83</v>
      </c>
      <c r="E86" t="e">
        <f t="shared" si="1424"/>
        <v>#NAME?</v>
      </c>
      <c r="F86" t="e">
        <f t="shared" si="1435"/>
        <v>#NAME?</v>
      </c>
      <c r="V86">
        <f t="shared" si="1425"/>
        <v>83</v>
      </c>
      <c r="W86" t="e">
        <f t="shared" si="1426"/>
        <v>#NAME?</v>
      </c>
      <c r="X86" t="e">
        <f t="shared" si="1427"/>
        <v>#NAME?</v>
      </c>
      <c r="Y86" t="e">
        <f t="shared" si="1428"/>
        <v>#NAME?</v>
      </c>
      <c r="Z86" t="e">
        <f t="shared" si="1423"/>
        <v>#NAME?</v>
      </c>
      <c r="AA86" t="e">
        <f t="shared" si="1429"/>
        <v>#NAME?</v>
      </c>
      <c r="AB86" t="e">
        <f t="shared" si="1430"/>
        <v>#NAME?</v>
      </c>
      <c r="AD86">
        <f t="shared" si="1434"/>
        <v>83</v>
      </c>
      <c r="AE86">
        <f t="shared" si="1431"/>
        <v>10.4395269966694</v>
      </c>
    </row>
    <row r="87">
      <c r="A87">
        <f t="shared" si="1432"/>
        <v>84</v>
      </c>
      <c r="B87">
        <v>11.175252728421924</v>
      </c>
      <c r="D87">
        <f t="shared" si="1433"/>
        <v>84</v>
      </c>
      <c r="E87" t="e">
        <f t="shared" si="1424"/>
        <v>#NAME?</v>
      </c>
      <c r="F87" t="e">
        <f t="shared" si="1435"/>
        <v>#NAME?</v>
      </c>
      <c r="V87">
        <f t="shared" si="1425"/>
        <v>84</v>
      </c>
      <c r="W87" t="e">
        <f t="shared" si="1426"/>
        <v>#NAME?</v>
      </c>
      <c r="X87" t="e">
        <f t="shared" si="1427"/>
        <v>#NAME?</v>
      </c>
      <c r="Y87" t="e">
        <f t="shared" si="1428"/>
        <v>#NAME?</v>
      </c>
      <c r="Z87" t="e">
        <f t="shared" si="1423"/>
        <v>#NAME?</v>
      </c>
      <c r="AA87" t="e">
        <f t="shared" si="1429"/>
        <v>#NAME?</v>
      </c>
      <c r="AB87" t="e">
        <f t="shared" si="1430"/>
        <v>#NAME?</v>
      </c>
      <c r="AD87">
        <f t="shared" si="1434"/>
        <v>84</v>
      </c>
      <c r="AE87">
        <f t="shared" si="1431"/>
        <v>11.175252728421899</v>
      </c>
    </row>
    <row r="88">
      <c r="A88">
        <f t="shared" si="1432"/>
        <v>85</v>
      </c>
      <c r="B88">
        <v>9.9215034890634719</v>
      </c>
      <c r="D88">
        <f t="shared" si="1433"/>
        <v>85</v>
      </c>
      <c r="E88" t="e">
        <f t="shared" si="1424"/>
        <v>#NAME?</v>
      </c>
      <c r="F88" t="e">
        <f t="shared" si="1435"/>
        <v>#NAME?</v>
      </c>
      <c r="V88">
        <f t="shared" si="1425"/>
        <v>85</v>
      </c>
      <c r="W88" t="e">
        <f t="shared" si="1426"/>
        <v>#NAME?</v>
      </c>
      <c r="X88" t="e">
        <f t="shared" si="1427"/>
        <v>#NAME?</v>
      </c>
      <c r="Y88" t="e">
        <f t="shared" si="1428"/>
        <v>#NAME?</v>
      </c>
      <c r="Z88" t="e">
        <f t="shared" si="1423"/>
        <v>#NAME?</v>
      </c>
      <c r="AA88" t="e">
        <f t="shared" si="1429"/>
        <v>#NAME?</v>
      </c>
      <c r="AB88" t="e">
        <f t="shared" si="1430"/>
        <v>#NAME?</v>
      </c>
      <c r="AD88">
        <f t="shared" si="1434"/>
        <v>85</v>
      </c>
      <c r="AE88">
        <f t="shared" si="1431"/>
        <v>9.9215034890634701</v>
      </c>
    </row>
    <row r="89">
      <c r="A89">
        <f t="shared" si="1432"/>
        <v>86</v>
      </c>
      <c r="B89">
        <v>10.653018863925139</v>
      </c>
      <c r="D89">
        <f t="shared" si="1433"/>
        <v>86</v>
      </c>
      <c r="E89" t="e">
        <f t="shared" si="1424"/>
        <v>#NAME?</v>
      </c>
      <c r="F89" t="e">
        <f t="shared" si="1435"/>
        <v>#NAME?</v>
      </c>
      <c r="V89">
        <f t="shared" si="1425"/>
        <v>86</v>
      </c>
      <c r="W89" t="e">
        <f t="shared" si="1426"/>
        <v>#NAME?</v>
      </c>
      <c r="X89" t="e">
        <f t="shared" si="1427"/>
        <v>#NAME?</v>
      </c>
      <c r="Y89" t="e">
        <f t="shared" si="1428"/>
        <v>#NAME?</v>
      </c>
      <c r="Z89" t="e">
        <f t="shared" si="1423"/>
        <v>#NAME?</v>
      </c>
      <c r="AA89" t="e">
        <f t="shared" si="1429"/>
        <v>#NAME?</v>
      </c>
      <c r="AB89" t="e">
        <f t="shared" si="1430"/>
        <v>#NAME?</v>
      </c>
      <c r="AD89">
        <f t="shared" si="1434"/>
        <v>86</v>
      </c>
      <c r="AE89">
        <f t="shared" si="1431"/>
        <v>10.6530188639251</v>
      </c>
    </row>
    <row r="90">
      <c r="A90">
        <f t="shared" si="1432"/>
        <v>87</v>
      </c>
      <c r="B90">
        <v>10.300965035959743</v>
      </c>
      <c r="D90">
        <f t="shared" si="1433"/>
        <v>87</v>
      </c>
      <c r="E90" t="e">
        <f t="shared" si="1424"/>
        <v>#NAME?</v>
      </c>
      <c r="F90" t="e">
        <f t="shared" si="1435"/>
        <v>#NAME?</v>
      </c>
      <c r="V90">
        <f t="shared" si="1425"/>
        <v>87</v>
      </c>
      <c r="W90" t="e">
        <f t="shared" si="1426"/>
        <v>#NAME?</v>
      </c>
      <c r="X90" t="e">
        <f t="shared" si="1427"/>
        <v>#NAME?</v>
      </c>
      <c r="Y90" t="e">
        <f t="shared" si="1428"/>
        <v>#NAME?</v>
      </c>
      <c r="Z90" t="e">
        <f t="shared" si="1423"/>
        <v>#NAME?</v>
      </c>
      <c r="AA90" t="e">
        <f t="shared" si="1429"/>
        <v>#NAME?</v>
      </c>
      <c r="AB90" t="e">
        <f t="shared" si="1430"/>
        <v>#NAME?</v>
      </c>
      <c r="AD90">
        <f t="shared" si="1434"/>
        <v>87</v>
      </c>
      <c r="AE90">
        <f t="shared" si="1431"/>
        <v>10.300965035959701</v>
      </c>
    </row>
    <row r="91">
      <c r="A91">
        <f t="shared" si="1432"/>
        <v>88</v>
      </c>
      <c r="B91">
        <v>9.322711642040451</v>
      </c>
      <c r="D91">
        <f t="shared" si="1433"/>
        <v>88</v>
      </c>
      <c r="E91" t="e">
        <f t="shared" si="1424"/>
        <v>#NAME?</v>
      </c>
      <c r="F91" t="e">
        <f t="shared" si="1435"/>
        <v>#NAME?</v>
      </c>
      <c r="V91">
        <f t="shared" si="1425"/>
        <v>88</v>
      </c>
      <c r="W91" t="e">
        <f t="shared" si="1426"/>
        <v>#NAME?</v>
      </c>
      <c r="X91" t="e">
        <f t="shared" si="1427"/>
        <v>#NAME?</v>
      </c>
      <c r="Y91" t="e">
        <f t="shared" si="1428"/>
        <v>#NAME?</v>
      </c>
      <c r="Z91" t="e">
        <f t="shared" si="1423"/>
        <v>#NAME?</v>
      </c>
      <c r="AA91" t="e">
        <f t="shared" si="1429"/>
        <v>#NAME?</v>
      </c>
      <c r="AB91" t="e">
        <f t="shared" si="1430"/>
        <v>#NAME?</v>
      </c>
      <c r="AD91">
        <f t="shared" si="1434"/>
        <v>88</v>
      </c>
      <c r="AE91">
        <f t="shared" si="1431"/>
        <v>9.3227116420404492</v>
      </c>
    </row>
    <row r="92">
      <c r="A92">
        <f t="shared" si="1432"/>
        <v>89</v>
      </c>
      <c r="B92">
        <v>11.208496897982</v>
      </c>
      <c r="D92">
        <f t="shared" si="1433"/>
        <v>89</v>
      </c>
      <c r="E92" t="e">
        <f t="shared" si="1424"/>
        <v>#NAME?</v>
      </c>
      <c r="F92" t="e">
        <f t="shared" si="1435"/>
        <v>#NAME?</v>
      </c>
      <c r="V92">
        <f t="shared" si="1425"/>
        <v>89</v>
      </c>
      <c r="W92" t="e">
        <f t="shared" si="1426"/>
        <v>#NAME?</v>
      </c>
      <c r="X92" t="e">
        <f t="shared" si="1427"/>
        <v>#NAME?</v>
      </c>
      <c r="Y92" t="e">
        <f t="shared" si="1428"/>
        <v>#NAME?</v>
      </c>
      <c r="Z92" t="e">
        <f t="shared" si="1423"/>
        <v>#NAME?</v>
      </c>
      <c r="AA92" t="e">
        <f t="shared" si="1429"/>
        <v>#NAME?</v>
      </c>
      <c r="AB92" t="e">
        <f t="shared" si="1430"/>
        <v>#NAME?</v>
      </c>
      <c r="AD92">
        <f t="shared" si="1434"/>
        <v>89</v>
      </c>
      <c r="AE92">
        <f t="shared" si="1431"/>
        <v>11.208496897982</v>
      </c>
    </row>
    <row r="93">
      <c r="A93">
        <f t="shared" si="1432"/>
        <v>90</v>
      </c>
      <c r="B93">
        <v>9.8337122512150561</v>
      </c>
      <c r="D93">
        <f t="shared" si="1433"/>
        <v>90</v>
      </c>
      <c r="E93" t="e">
        <f t="shared" si="1424"/>
        <v>#NAME?</v>
      </c>
      <c r="F93" t="e">
        <f t="shared" si="1435"/>
        <v>#NAME?</v>
      </c>
      <c r="V93">
        <f t="shared" si="1425"/>
        <v>90</v>
      </c>
      <c r="W93" t="e">
        <f t="shared" si="1426"/>
        <v>#NAME?</v>
      </c>
      <c r="X93" t="e">
        <f t="shared" si="1427"/>
        <v>#NAME?</v>
      </c>
      <c r="Y93" t="e">
        <f t="shared" si="1428"/>
        <v>#NAME?</v>
      </c>
      <c r="Z93" t="e">
        <f t="shared" si="1423"/>
        <v>#NAME?</v>
      </c>
      <c r="AA93" t="e">
        <f t="shared" si="1429"/>
        <v>#NAME?</v>
      </c>
      <c r="AB93" t="e">
        <f t="shared" si="1430"/>
        <v>#NAME?</v>
      </c>
      <c r="AD93">
        <f t="shared" si="1434"/>
        <v>90</v>
      </c>
      <c r="AE93">
        <f t="shared" si="1431"/>
        <v>9.8337122512150597</v>
      </c>
    </row>
    <row r="94">
      <c r="A94">
        <f t="shared" si="1432"/>
        <v>91</v>
      </c>
      <c r="B94">
        <v>11.009228904367124</v>
      </c>
      <c r="D94">
        <f t="shared" si="1433"/>
        <v>91</v>
      </c>
      <c r="E94" t="e">
        <f t="shared" si="1424"/>
        <v>#NAME?</v>
      </c>
      <c r="F94" t="e">
        <f t="shared" si="1435"/>
        <v>#NAME?</v>
      </c>
      <c r="V94">
        <f t="shared" si="1425"/>
        <v>91</v>
      </c>
      <c r="W94" t="e">
        <f t="shared" si="1426"/>
        <v>#NAME?</v>
      </c>
      <c r="X94" t="e">
        <f t="shared" si="1427"/>
        <v>#NAME?</v>
      </c>
      <c r="Y94" t="e">
        <f t="shared" si="1428"/>
        <v>#NAME?</v>
      </c>
      <c r="Z94" t="e">
        <f t="shared" si="1423"/>
        <v>#NAME?</v>
      </c>
      <c r="AA94" t="e">
        <f t="shared" si="1429"/>
        <v>#NAME?</v>
      </c>
      <c r="AB94" t="e">
        <f t="shared" si="1430"/>
        <v>#NAME?</v>
      </c>
      <c r="AD94">
        <f t="shared" si="1434"/>
        <v>91</v>
      </c>
      <c r="AE94">
        <f t="shared" si="1431"/>
        <v>11.009228904367101</v>
      </c>
    </row>
    <row r="95">
      <c r="A95">
        <f t="shared" si="1432"/>
        <v>92</v>
      </c>
      <c r="B95">
        <v>9.672211664259164</v>
      </c>
      <c r="D95">
        <f t="shared" si="1433"/>
        <v>92</v>
      </c>
      <c r="E95" t="e">
        <f t="shared" si="1424"/>
        <v>#NAME?</v>
      </c>
      <c r="F95" t="e">
        <f t="shared" si="1435"/>
        <v>#NAME?</v>
      </c>
      <c r="V95">
        <f t="shared" si="1425"/>
        <v>92</v>
      </c>
      <c r="W95" t="e">
        <f t="shared" si="1426"/>
        <v>#NAME?</v>
      </c>
      <c r="X95" t="e">
        <f t="shared" si="1427"/>
        <v>#NAME?</v>
      </c>
      <c r="Y95" t="e">
        <f t="shared" si="1428"/>
        <v>#NAME?</v>
      </c>
      <c r="Z95" t="e">
        <f t="shared" si="1423"/>
        <v>#NAME?</v>
      </c>
      <c r="AA95" t="e">
        <f t="shared" si="1429"/>
        <v>#NAME?</v>
      </c>
      <c r="AB95" t="e">
        <f t="shared" si="1430"/>
        <v>#NAME?</v>
      </c>
      <c r="AD95">
        <f t="shared" si="1434"/>
        <v>92</v>
      </c>
      <c r="AE95">
        <f t="shared" si="1431"/>
        <v>9.6722116642591693</v>
      </c>
    </row>
    <row r="96">
      <c r="A96">
        <f t="shared" si="1432"/>
        <v>93</v>
      </c>
      <c r="B96">
        <v>8.0220551654262664</v>
      </c>
      <c r="D96">
        <f t="shared" si="1433"/>
        <v>93</v>
      </c>
      <c r="E96" t="e">
        <f t="shared" si="1424"/>
        <v>#NAME?</v>
      </c>
      <c r="F96" t="e">
        <f t="shared" si="1435"/>
        <v>#NAME?</v>
      </c>
      <c r="V96">
        <f t="shared" si="1425"/>
        <v>93</v>
      </c>
      <c r="W96" t="e">
        <f t="shared" si="1426"/>
        <v>#NAME?</v>
      </c>
      <c r="X96" t="e">
        <f t="shared" si="1427"/>
        <v>#NAME?</v>
      </c>
      <c r="Y96" t="e">
        <f t="shared" si="1428"/>
        <v>#NAME?</v>
      </c>
      <c r="Z96" t="e">
        <f t="shared" si="1423"/>
        <v>#NAME?</v>
      </c>
      <c r="AA96" t="e">
        <f t="shared" si="1429"/>
        <v>#NAME?</v>
      </c>
      <c r="AB96" t="e">
        <f t="shared" si="1430"/>
        <v>#NAME?</v>
      </c>
      <c r="AD96">
        <f t="shared" si="1434"/>
        <v>93</v>
      </c>
      <c r="AE96">
        <f t="shared" si="1431"/>
        <v>8.02205516542627</v>
      </c>
    </row>
    <row r="97">
      <c r="A97">
        <f t="shared" si="1432"/>
        <v>94</v>
      </c>
      <c r="B97">
        <v>9.1001604867082797</v>
      </c>
      <c r="D97">
        <f t="shared" si="1433"/>
        <v>94</v>
      </c>
      <c r="E97" t="e">
        <f t="shared" si="1424"/>
        <v>#NAME?</v>
      </c>
      <c r="F97" t="e">
        <f t="shared" si="1435"/>
        <v>#NAME?</v>
      </c>
      <c r="V97">
        <f t="shared" si="1425"/>
        <v>94</v>
      </c>
      <c r="W97" t="e">
        <f t="shared" si="1426"/>
        <v>#NAME?</v>
      </c>
      <c r="X97" t="e">
        <f t="shared" si="1427"/>
        <v>#NAME?</v>
      </c>
      <c r="Y97" t="e">
        <f t="shared" si="1428"/>
        <v>#NAME?</v>
      </c>
      <c r="Z97" t="e">
        <f t="shared" si="1423"/>
        <v>#NAME?</v>
      </c>
      <c r="AA97" t="e">
        <f t="shared" si="1429"/>
        <v>#NAME?</v>
      </c>
      <c r="AB97" t="e">
        <f t="shared" si="1430"/>
        <v>#NAME?</v>
      </c>
      <c r="AD97">
        <f t="shared" si="1434"/>
        <v>94</v>
      </c>
      <c r="AE97">
        <f t="shared" si="1431"/>
        <v>9.1001604867082797</v>
      </c>
    </row>
    <row r="98">
      <c r="A98">
        <f t="shared" si="1432"/>
        <v>95</v>
      </c>
      <c r="B98">
        <v>10.293563569831946</v>
      </c>
      <c r="D98">
        <f t="shared" si="1433"/>
        <v>95</v>
      </c>
      <c r="E98" t="e">
        <f t="shared" si="1424"/>
        <v>#NAME?</v>
      </c>
      <c r="F98" t="e">
        <f t="shared" si="1435"/>
        <v>#NAME?</v>
      </c>
      <c r="V98">
        <f t="shared" si="1425"/>
        <v>95</v>
      </c>
      <c r="W98" t="e">
        <f t="shared" si="1426"/>
        <v>#NAME?</v>
      </c>
      <c r="X98" t="e">
        <f t="shared" si="1427"/>
        <v>#NAME?</v>
      </c>
      <c r="Y98" t="e">
        <f t="shared" si="1428"/>
        <v>#NAME?</v>
      </c>
      <c r="Z98" t="e">
        <f t="shared" si="1423"/>
        <v>#NAME?</v>
      </c>
      <c r="AA98" t="e">
        <f t="shared" si="1429"/>
        <v>#NAME?</v>
      </c>
      <c r="AB98" t="e">
        <f t="shared" si="1430"/>
        <v>#NAME?</v>
      </c>
      <c r="AD98">
        <f t="shared" si="1434"/>
        <v>95</v>
      </c>
      <c r="AE98">
        <f t="shared" si="1431"/>
        <v>10.2935635698319</v>
      </c>
    </row>
    <row r="99">
      <c r="A99">
        <f t="shared" si="1432"/>
        <v>96</v>
      </c>
      <c r="B99">
        <v>10.874137892356456</v>
      </c>
      <c r="D99">
        <f t="shared" si="1433"/>
        <v>96</v>
      </c>
      <c r="E99" t="e">
        <f>B100-B99-J$6</f>
        <v>#NAME?</v>
      </c>
      <c r="F99" t="e">
        <f t="shared" si="1435"/>
        <v>#NAME?</v>
      </c>
      <c r="V99">
        <f t="shared" si="1425"/>
        <v>96</v>
      </c>
      <c r="W99" t="e">
        <f t="shared" si="1426"/>
        <v>#NAME?</v>
      </c>
      <c r="X99" t="e">
        <f t="shared" si="1427"/>
        <v>#NAME?</v>
      </c>
      <c r="Y99" t="e">
        <f t="shared" si="1428"/>
        <v>#NAME?</v>
      </c>
      <c r="Z99" t="e">
        <f t="shared" si="1423"/>
        <v>#NAME?</v>
      </c>
      <c r="AA99" t="e">
        <f t="shared" si="1429"/>
        <v>#NAME?</v>
      </c>
      <c r="AB99" t="e">
        <f t="shared" si="1430"/>
        <v>#NAME?</v>
      </c>
      <c r="AD99">
        <f t="shared" si="1434"/>
        <v>96</v>
      </c>
      <c r="AE99">
        <f t="shared" si="1431"/>
        <v>10.874137892356501</v>
      </c>
    </row>
    <row r="100">
      <c r="A100">
        <f t="shared" si="1432"/>
        <v>97</v>
      </c>
      <c r="B100">
        <v>11.048588930382072</v>
      </c>
      <c r="D100">
        <f t="shared" si="1433"/>
        <v>97</v>
      </c>
      <c r="E100" t="e">
        <f t="shared" ref="E100:E107" si="1436">B101-B100-J$6</f>
        <v>#NAME?</v>
      </c>
      <c r="F100" t="e">
        <f>E100-SUMPRODUCT(E98:E99,I$4:I$5)-SUMPRODUCT(F99,J$5)</f>
        <v>#NAME?</v>
      </c>
      <c r="V100">
        <f t="shared" ref="V100:V107" si="1437">D100</f>
        <v>97</v>
      </c>
      <c r="W100" t="e">
        <f t="shared" ref="W100:W107" si="1438">E100</f>
        <v>#NAME?</v>
      </c>
      <c r="X100" t="e">
        <f t="shared" ref="X100:X107" si="1439">F100</f>
        <v>#NAME?</v>
      </c>
      <c r="Y100" t="e">
        <f t="shared" ref="Y100:Y107" si="1440">W100-X100</f>
        <v>#NAME?</v>
      </c>
      <c r="Z100" t="e">
        <f t="shared" si="1423"/>
        <v>#NAME?</v>
      </c>
      <c r="AA100" t="e">
        <f t="shared" ref="AA100:AA112" si="1441">Y100-NORMSINV(1-Z$2/2)*Z100</f>
        <v>#NAME?</v>
      </c>
      <c r="AB100" t="e">
        <f t="shared" ref="AB100:AB112" si="1442">Y100+NORMSINV(1-Z$2/2)*Z100</f>
        <v>#NAME?</v>
      </c>
      <c r="AD100">
        <f t="shared" si="1434"/>
        <v>97</v>
      </c>
      <c r="AE100">
        <f t="shared" ref="AE100:AE108" si="1443">B100</f>
        <v>11.048588930382101</v>
      </c>
    </row>
    <row r="101">
      <c r="A101">
        <f t="shared" ref="A101:A108" si="1444">A100+1</f>
        <v>98</v>
      </c>
      <c r="B101">
        <v>10.377103608405848</v>
      </c>
      <c r="D101">
        <f t="shared" ref="D101:D107" si="1445">D100+1</f>
        <v>98</v>
      </c>
      <c r="E101" t="e">
        <f t="shared" si="1436"/>
        <v>#NAME?</v>
      </c>
      <c r="F101" t="e">
        <f>E101-SUMPRODUCT(E99:E100,I$4:I$5)-SUMPRODUCT(F100,J$5)</f>
        <v>#NAME?</v>
      </c>
      <c r="V101">
        <f t="shared" si="1437"/>
        <v>98</v>
      </c>
      <c r="W101" t="e">
        <f t="shared" si="1438"/>
        <v>#NAME?</v>
      </c>
      <c r="X101" t="e">
        <f t="shared" si="1439"/>
        <v>#NAME?</v>
      </c>
      <c r="Y101" t="e">
        <f t="shared" si="1440"/>
        <v>#NAME?</v>
      </c>
      <c r="Z101" t="e">
        <f t="shared" si="1423"/>
        <v>#NAME?</v>
      </c>
      <c r="AA101" t="e">
        <f t="shared" si="1441"/>
        <v>#NAME?</v>
      </c>
      <c r="AB101" t="e">
        <f t="shared" si="1442"/>
        <v>#NAME?</v>
      </c>
      <c r="AD101">
        <f t="shared" ref="AD101:AD113" si="1446">AD100+1</f>
        <v>98</v>
      </c>
      <c r="AE101">
        <f t="shared" si="1443"/>
        <v>10.3771036084059</v>
      </c>
    </row>
    <row r="102">
      <c r="A102">
        <f t="shared" si="1444"/>
        <v>99</v>
      </c>
      <c r="B102">
        <v>11.100733406475408</v>
      </c>
      <c r="D102">
        <f t="shared" si="1445"/>
        <v>99</v>
      </c>
      <c r="E102" t="e">
        <f t="shared" si="1436"/>
        <v>#NAME?</v>
      </c>
      <c r="F102" t="e">
        <f t="shared" ref="F102:F107" si="1447">E102-SUMPRODUCT(E100:E101,I$4:I$5)-SUMPRODUCT(F101,J$5)</f>
        <v>#NAME?</v>
      </c>
      <c r="V102">
        <f t="shared" si="1437"/>
        <v>99</v>
      </c>
      <c r="W102" t="e">
        <f t="shared" si="1438"/>
        <v>#NAME?</v>
      </c>
      <c r="X102" t="e">
        <f t="shared" si="1439"/>
        <v>#NAME?</v>
      </c>
      <c r="Y102" t="e">
        <f t="shared" si="1440"/>
        <v>#NAME?</v>
      </c>
      <c r="Z102" t="e">
        <f t="shared" si="1423"/>
        <v>#NAME?</v>
      </c>
      <c r="AA102" t="e">
        <f t="shared" si="1441"/>
        <v>#NAME?</v>
      </c>
      <c r="AB102" t="e">
        <f t="shared" si="1442"/>
        <v>#NAME?</v>
      </c>
      <c r="AD102">
        <f t="shared" si="1446"/>
        <v>99</v>
      </c>
      <c r="AE102">
        <f t="shared" si="1443"/>
        <v>11.100733406475401</v>
      </c>
    </row>
    <row r="103">
      <c r="A103">
        <f t="shared" si="1444"/>
        <v>100</v>
      </c>
      <c r="B103">
        <v>9.5564566897714425</v>
      </c>
      <c r="D103">
        <f t="shared" si="1445"/>
        <v>100</v>
      </c>
      <c r="E103" t="e">
        <f t="shared" si="1436"/>
        <v>#NAME?</v>
      </c>
      <c r="F103" t="e">
        <f t="shared" si="1447"/>
        <v>#NAME?</v>
      </c>
      <c r="V103">
        <f t="shared" si="1437"/>
        <v>100</v>
      </c>
      <c r="W103" t="e">
        <f t="shared" si="1438"/>
        <v>#NAME?</v>
      </c>
      <c r="X103" t="e">
        <f t="shared" si="1439"/>
        <v>#NAME?</v>
      </c>
      <c r="Y103" t="e">
        <f t="shared" si="1440"/>
        <v>#NAME?</v>
      </c>
      <c r="Z103" t="e">
        <f t="shared" si="1423"/>
        <v>#NAME?</v>
      </c>
      <c r="AA103" t="e">
        <f t="shared" si="1441"/>
        <v>#NAME?</v>
      </c>
      <c r="AB103" t="e">
        <f t="shared" si="1442"/>
        <v>#NAME?</v>
      </c>
      <c r="AD103">
        <f t="shared" si="1446"/>
        <v>100</v>
      </c>
      <c r="AE103">
        <f t="shared" si="1443"/>
        <v>9.5564566897714407</v>
      </c>
    </row>
    <row r="104">
      <c r="A104">
        <f t="shared" si="1444"/>
        <v>101</v>
      </c>
      <c r="B104">
        <v>10.126612012197912</v>
      </c>
      <c r="D104">
        <f t="shared" si="1445"/>
        <v>101</v>
      </c>
      <c r="E104" t="e">
        <f t="shared" si="1436"/>
        <v>#NAME?</v>
      </c>
      <c r="F104" t="e">
        <f t="shared" si="1447"/>
        <v>#NAME?</v>
      </c>
      <c r="V104">
        <f t="shared" si="1437"/>
        <v>101</v>
      </c>
      <c r="W104" t="e">
        <f t="shared" si="1438"/>
        <v>#NAME?</v>
      </c>
      <c r="X104" t="e">
        <f t="shared" si="1439"/>
        <v>#NAME?</v>
      </c>
      <c r="Y104" t="e">
        <f t="shared" si="1440"/>
        <v>#NAME?</v>
      </c>
      <c r="Z104" t="e">
        <f t="shared" si="1423"/>
        <v>#NAME?</v>
      </c>
      <c r="AA104" t="e">
        <f t="shared" si="1441"/>
        <v>#NAME?</v>
      </c>
      <c r="AB104" t="e">
        <f t="shared" si="1442"/>
        <v>#NAME?</v>
      </c>
      <c r="AD104">
        <f t="shared" si="1446"/>
        <v>101</v>
      </c>
      <c r="AE104">
        <f t="shared" si="1443"/>
        <v>10.126612012197899</v>
      </c>
    </row>
    <row r="105">
      <c r="A105">
        <f t="shared" si="1444"/>
        <v>102</v>
      </c>
      <c r="B105">
        <v>10.618656799718755</v>
      </c>
      <c r="D105">
        <f t="shared" si="1445"/>
        <v>102</v>
      </c>
      <c r="E105" t="e">
        <f t="shared" si="1436"/>
        <v>#NAME?</v>
      </c>
      <c r="F105" t="e">
        <f t="shared" si="1447"/>
        <v>#NAME?</v>
      </c>
      <c r="V105">
        <f t="shared" si="1437"/>
        <v>102</v>
      </c>
      <c r="W105" t="e">
        <f t="shared" si="1438"/>
        <v>#NAME?</v>
      </c>
      <c r="X105" t="e">
        <f t="shared" si="1439"/>
        <v>#NAME?</v>
      </c>
      <c r="Y105" t="e">
        <f t="shared" si="1440"/>
        <v>#NAME?</v>
      </c>
      <c r="Z105" t="e">
        <f t="shared" si="1423"/>
        <v>#NAME?</v>
      </c>
      <c r="AA105" t="e">
        <f t="shared" si="1441"/>
        <v>#NAME?</v>
      </c>
      <c r="AB105" t="e">
        <f t="shared" si="1442"/>
        <v>#NAME?</v>
      </c>
      <c r="AD105">
        <f t="shared" si="1446"/>
        <v>102</v>
      </c>
      <c r="AE105">
        <f t="shared" si="1443"/>
        <v>10.618656799718799</v>
      </c>
    </row>
    <row r="106">
      <c r="A106">
        <f t="shared" si="1444"/>
        <v>103</v>
      </c>
      <c r="B106">
        <v>11.369377647513677</v>
      </c>
      <c r="D106">
        <f t="shared" si="1445"/>
        <v>103</v>
      </c>
      <c r="E106" t="e">
        <f t="shared" si="1436"/>
        <v>#NAME?</v>
      </c>
      <c r="F106" t="e">
        <f t="shared" si="1447"/>
        <v>#NAME?</v>
      </c>
      <c r="V106">
        <f t="shared" si="1437"/>
        <v>103</v>
      </c>
      <c r="W106" t="e">
        <f t="shared" si="1438"/>
        <v>#NAME?</v>
      </c>
      <c r="X106" t="e">
        <f t="shared" si="1439"/>
        <v>#NAME?</v>
      </c>
      <c r="Y106" t="e">
        <f t="shared" si="1440"/>
        <v>#NAME?</v>
      </c>
      <c r="Z106" t="e">
        <f t="shared" si="1423"/>
        <v>#NAME?</v>
      </c>
      <c r="AA106" t="e">
        <f t="shared" si="1441"/>
        <v>#NAME?</v>
      </c>
      <c r="AB106" t="e">
        <f t="shared" si="1442"/>
        <v>#NAME?</v>
      </c>
      <c r="AD106">
        <f t="shared" si="1446"/>
        <v>103</v>
      </c>
      <c r="AE106">
        <f t="shared" si="1443"/>
        <v>11.3693776475137</v>
      </c>
    </row>
    <row r="107">
      <c r="A107">
        <f t="shared" si="1444"/>
        <v>104</v>
      </c>
      <c r="B107">
        <v>10.761442220235375</v>
      </c>
      <c r="D107" s="14">
        <f t="shared" si="1445"/>
        <v>104</v>
      </c>
      <c r="E107" s="14" t="e">
        <f t="shared" si="1436"/>
        <v>#NAME?</v>
      </c>
      <c r="F107" s="14" t="e">
        <f t="shared" si="1447"/>
        <v>#NAME?</v>
      </c>
      <c r="V107">
        <f t="shared" si="1437"/>
        <v>104</v>
      </c>
      <c r="W107" t="e">
        <f t="shared" si="1438"/>
        <v>#NAME?</v>
      </c>
      <c r="X107" t="e">
        <f t="shared" si="1439"/>
        <v>#NAME?</v>
      </c>
      <c r="Y107" t="e">
        <f t="shared" si="1440"/>
        <v>#NAME?</v>
      </c>
      <c r="Z107" t="e">
        <f t="shared" si="1423"/>
        <v>#NAME?</v>
      </c>
      <c r="AA107" t="e">
        <f t="shared" si="1441"/>
        <v>#NAME?</v>
      </c>
      <c r="AB107" t="e">
        <f t="shared" si="1442"/>
        <v>#NAME?</v>
      </c>
      <c r="AD107">
        <f t="shared" si="1446"/>
        <v>104</v>
      </c>
      <c r="AE107">
        <f t="shared" si="1443"/>
        <v>10.7614422202354</v>
      </c>
    </row>
    <row r="108">
      <c r="A108">
        <f t="shared" si="1444"/>
        <v>105</v>
      </c>
      <c r="B108" s="14">
        <v>11.954765055482961</v>
      </c>
      <c r="V108">
        <f t="shared" ref="V108:V112" si="1448">V107+1</f>
        <v>105</v>
      </c>
      <c r="Y108" t="e">
        <f>SUMPRODUCT(W106:W107,I$4:I$5)+SUMPRODUCT(X107,J$5)</f>
        <v>#NAME?</v>
      </c>
      <c r="Z108" t="e">
        <f t="shared" ref="Z108:Z112" si="1449">J$15*SQRT(SUMSQ(M$15:M15))</f>
        <v>#NAME?</v>
      </c>
      <c r="AA108" t="e">
        <f t="shared" si="1441"/>
        <v>#NAME?</v>
      </c>
      <c r="AB108" t="e">
        <f t="shared" si="1442"/>
        <v>#NAME?</v>
      </c>
      <c r="AD108" s="14">
        <f t="shared" si="1446"/>
        <v>105</v>
      </c>
      <c r="AE108" s="14">
        <f t="shared" si="1443"/>
        <v>11.954765055483</v>
      </c>
    </row>
    <row r="109">
      <c r="V109">
        <f t="shared" si="1448"/>
        <v>106</v>
      </c>
      <c r="Y109" t="e">
        <f>SUMPRODUCT(W107,I4)+SUMPRODUCT(Y108,I5)</f>
        <v>#NAME?</v>
      </c>
      <c r="Z109" t="e">
        <f t="shared" si="1449"/>
        <v>#NAME?</v>
      </c>
      <c r="AA109" t="e">
        <f t="shared" si="1441"/>
        <v>#NAME?</v>
      </c>
      <c r="AB109" t="e">
        <f t="shared" si="1442"/>
        <v>#NAME?</v>
      </c>
      <c r="AD109">
        <f t="shared" si="1446"/>
        <v>106</v>
      </c>
      <c r="AE109" t="e">
        <f t="shared" ref="AE109:AE113" si="1450">Y108+AE108+J$6</f>
        <v>#NAME?</v>
      </c>
    </row>
    <row r="110">
      <c r="V110">
        <f t="shared" si="1448"/>
        <v>107</v>
      </c>
      <c r="Y110" t="e">
        <f>SUMPRODUCT(Y108:Y109,I4:I5)</f>
        <v>#NAME?</v>
      </c>
      <c r="Z110" t="e">
        <f t="shared" si="1449"/>
        <v>#NAME?</v>
      </c>
      <c r="AA110" t="e">
        <f t="shared" si="1441"/>
        <v>#NAME?</v>
      </c>
      <c r="AB110" t="e">
        <f t="shared" si="1442"/>
        <v>#NAME?</v>
      </c>
      <c r="AD110">
        <f t="shared" si="1446"/>
        <v>107</v>
      </c>
      <c r="AE110" t="e">
        <f t="shared" si="1450"/>
        <v>#NAME?</v>
      </c>
    </row>
    <row r="111">
      <c r="V111">
        <f t="shared" si="1448"/>
        <v>108</v>
      </c>
      <c r="Y111" t="e">
        <f>SUMPRODUCT(Y109:Y110,I4:I5)</f>
        <v>#NAME?</v>
      </c>
      <c r="Z111" t="e">
        <f t="shared" si="1449"/>
        <v>#NAME?</v>
      </c>
      <c r="AA111" t="e">
        <f t="shared" si="1441"/>
        <v>#NAME?</v>
      </c>
      <c r="AB111" t="e">
        <f t="shared" si="1442"/>
        <v>#NAME?</v>
      </c>
      <c r="AD111">
        <f t="shared" si="1446"/>
        <v>108</v>
      </c>
      <c r="AE111" t="e">
        <f t="shared" si="1450"/>
        <v>#NAME?</v>
      </c>
    </row>
    <row r="112">
      <c r="V112" s="14">
        <f t="shared" si="1448"/>
        <v>109</v>
      </c>
      <c r="W112" s="14"/>
      <c r="X112" s="14"/>
      <c r="Y112" s="14" t="e">
        <f>SUMPRODUCT(Y110:Y111,I4:I5)</f>
        <v>#NAME?</v>
      </c>
      <c r="Z112" s="14" t="e">
        <f t="shared" si="1449"/>
        <v>#NAME?</v>
      </c>
      <c r="AA112" s="14" t="e">
        <f t="shared" si="1441"/>
        <v>#NAME?</v>
      </c>
      <c r="AB112" s="14" t="e">
        <f t="shared" si="1442"/>
        <v>#NAME?</v>
      </c>
      <c r="AD112">
        <f t="shared" si="1446"/>
        <v>109</v>
      </c>
      <c r="AE112" t="e">
        <f t="shared" si="1450"/>
        <v>#NAME?</v>
      </c>
    </row>
    <row r="113">
      <c r="AD113" s="14">
        <f t="shared" si="1446"/>
        <v>110</v>
      </c>
      <c r="AE113" s="14" t="e">
        <f t="shared" si="1450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P17" activeCellId="0" sqref="P17"/>
    </sheetView>
  </sheetViews>
  <sheetFormatPr defaultRowHeight="14.25"/>
  <cols>
    <col customWidth="1" min="1" max="1" width="4.8125"/>
  </cols>
  <sheetData>
    <row r="1">
      <c r="A1" s="1" t="s">
        <v>589</v>
      </c>
      <c r="D1" t="s">
        <v>578</v>
      </c>
      <c r="H1" t="s">
        <v>590</v>
      </c>
      <c r="L1" t="s">
        <v>476</v>
      </c>
      <c r="P1" t="s">
        <v>591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486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>
        <f t="shared" ref="E4:E8" si="1451">B5-B4-J$6</f>
        <v>2.6446262435648702</v>
      </c>
      <c r="F4">
        <v>0</v>
      </c>
      <c r="H4" s="15">
        <v>2</v>
      </c>
      <c r="I4">
        <v>0.55785501990874697</v>
      </c>
      <c r="J4">
        <v>0</v>
      </c>
      <c r="L4" t="e">
        <v>#NAME?</v>
      </c>
      <c r="M4" t="e">
        <v>#NAME?</v>
      </c>
      <c r="N4" t="e">
        <v>#NAME?</v>
      </c>
      <c r="P4" s="26" t="s">
        <v>283</v>
      </c>
      <c r="Q4" s="26">
        <f>J16</f>
        <v>2.3148809812861999e-02</v>
      </c>
      <c r="R4" s="26">
        <f>J17/SQRT(J18)</f>
        <v>0.127011947226008</v>
      </c>
      <c r="S4" s="26">
        <f>Q4/R4</f>
        <v>0.18225694762139599</v>
      </c>
      <c r="T4" s="26">
        <f>TDIST(ABS(S4),J$18-1,2)</f>
        <v>0.85574639593042012</v>
      </c>
      <c r="V4">
        <f t="shared" ref="V4:V9" si="1452">D4</f>
        <v>1</v>
      </c>
      <c r="W4">
        <f t="shared" ref="W4:W9" si="1453">E4</f>
        <v>2.6446262435648702</v>
      </c>
      <c r="X4">
        <f t="shared" ref="X4:X9" si="1454">F4</f>
        <v>0</v>
      </c>
      <c r="Y4">
        <f t="shared" ref="Y4:Y9" si="1455">W4-X4</f>
        <v>2.6446262435648702</v>
      </c>
      <c r="Z4">
        <f t="shared" ref="Z4:Z67" si="1456">J$15</f>
        <v>1.1062504015180801</v>
      </c>
      <c r="AA4">
        <f t="shared" ref="AA4:AA9" si="1457">Y4-NORMSINV(1-Z$2/2)*Z4</f>
        <v>0.47641540558146006</v>
      </c>
      <c r="AB4">
        <f t="shared" ref="AB4:AB9" si="1458">Y4+NORMSINV(1-Z$2/2)*Z4</f>
        <v>4.8128370815482802</v>
      </c>
      <c r="AD4">
        <v>1</v>
      </c>
      <c r="AE4">
        <f t="shared" ref="AE4:AE9" si="1459">B4</f>
        <v>3.1176756475655401</v>
      </c>
    </row>
    <row r="5">
      <c r="A5">
        <f t="shared" ref="A5:A10" si="1460">A4+1</f>
        <v>2</v>
      </c>
      <c r="B5">
        <v>5.8082510857989273</v>
      </c>
      <c r="D5">
        <f t="shared" ref="D5:D10" si="1461">D4+1</f>
        <v>2</v>
      </c>
      <c r="E5">
        <f t="shared" si="1451"/>
        <v>-0.94743168208567385</v>
      </c>
      <c r="F5">
        <v>0</v>
      </c>
      <c r="H5" s="15">
        <f>H4-1</f>
        <v>1</v>
      </c>
      <c r="I5">
        <v>0.38994248834921208</v>
      </c>
      <c r="J5">
        <v>-1.0668948731108738</v>
      </c>
      <c r="L5" s="14" t="e">
        <v>#NAME?</v>
      </c>
      <c r="M5" s="14" t="e">
        <v>#NAME?</v>
      </c>
      <c r="N5" s="14" t="e">
        <v>#NAME?</v>
      </c>
      <c r="V5">
        <f t="shared" si="1452"/>
        <v>2</v>
      </c>
      <c r="W5">
        <f t="shared" si="1453"/>
        <v>-0.94743168208567385</v>
      </c>
      <c r="X5">
        <f t="shared" si="1454"/>
        <v>0</v>
      </c>
      <c r="Y5">
        <f t="shared" si="1455"/>
        <v>-0.94743168208567385</v>
      </c>
      <c r="Z5">
        <f t="shared" si="1456"/>
        <v>1.1062504015180801</v>
      </c>
      <c r="AA5">
        <f t="shared" si="1457"/>
        <v>-3.11564252006908</v>
      </c>
      <c r="AB5">
        <f t="shared" si="1458"/>
        <v>1.2207791558977401</v>
      </c>
      <c r="AD5">
        <f t="shared" ref="AD5:AD10" si="1462">AD4+1</f>
        <v>2</v>
      </c>
      <c r="AE5">
        <f t="shared" si="1459"/>
        <v>5.80825108579893</v>
      </c>
    </row>
    <row r="6">
      <c r="A6">
        <f t="shared" si="1460"/>
        <v>3</v>
      </c>
      <c r="B6">
        <v>4.9067685983817757</v>
      </c>
      <c r="D6">
        <f t="shared" si="1461"/>
        <v>3</v>
      </c>
      <c r="E6">
        <f t="shared" si="1451"/>
        <v>1.1667566892099399</v>
      </c>
      <c r="F6">
        <f t="shared" ref="F6:F9" si="1463">E6-SUMPRODUCT(E4:E5,I$4:I$5)-SUMPRODUCT(F5,J$5)</f>
        <v>6.0882531108229998e-02</v>
      </c>
      <c r="H6" s="17" t="s">
        <v>494</v>
      </c>
      <c r="I6" s="14">
        <f>J6*(1-SUM(I4:I5))</f>
        <v>2.3986624552369998e-03</v>
      </c>
      <c r="J6" s="14">
        <v>4.5949194668524422e-02</v>
      </c>
      <c r="V6">
        <f t="shared" si="1452"/>
        <v>3</v>
      </c>
      <c r="W6">
        <f t="shared" si="1453"/>
        <v>1.1667566892099399</v>
      </c>
      <c r="X6">
        <f t="shared" si="1454"/>
        <v>6.0882531108229998e-02</v>
      </c>
      <c r="Y6">
        <f t="shared" si="1455"/>
        <v>1.10587415810171</v>
      </c>
      <c r="Z6">
        <f t="shared" si="1456"/>
        <v>1.1062504015180801</v>
      </c>
      <c r="AA6">
        <f t="shared" si="1457"/>
        <v>-1.0623366798817</v>
      </c>
      <c r="AB6">
        <f t="shared" si="1458"/>
        <v>3.2740849960851199</v>
      </c>
      <c r="AD6">
        <f t="shared" si="1462"/>
        <v>3</v>
      </c>
      <c r="AE6">
        <f t="shared" si="1459"/>
        <v>4.9067685983817801</v>
      </c>
    </row>
    <row r="7">
      <c r="A7">
        <f t="shared" si="1460"/>
        <v>4</v>
      </c>
      <c r="B7">
        <v>6.1194744822602418</v>
      </c>
      <c r="D7">
        <f t="shared" si="1461"/>
        <v>4</v>
      </c>
      <c r="E7">
        <f t="shared" si="1451"/>
        <v>1.9699026348369499</v>
      </c>
      <c r="F7">
        <f t="shared" si="1463"/>
        <v>2.1084194083218</v>
      </c>
      <c r="L7" t="s">
        <v>495</v>
      </c>
      <c r="V7">
        <f t="shared" si="1452"/>
        <v>4</v>
      </c>
      <c r="W7">
        <f t="shared" si="1453"/>
        <v>1.9699026348369499</v>
      </c>
      <c r="X7">
        <f t="shared" si="1454"/>
        <v>2.1084194083218</v>
      </c>
      <c r="Y7">
        <f t="shared" si="1455"/>
        <v>-0.13851677348485</v>
      </c>
      <c r="Z7">
        <f t="shared" si="1456"/>
        <v>1.1062504015180801</v>
      </c>
      <c r="AA7">
        <f t="shared" si="1457"/>
        <v>-2.30672761146826</v>
      </c>
      <c r="AB7">
        <f t="shared" si="1458"/>
        <v>2.0296940644985599</v>
      </c>
      <c r="AD7">
        <f t="shared" si="1462"/>
        <v>4</v>
      </c>
      <c r="AE7">
        <f t="shared" si="1459"/>
        <v>6.11947448226024</v>
      </c>
    </row>
    <row r="8">
      <c r="A8">
        <f t="shared" si="1460"/>
        <v>5</v>
      </c>
      <c r="B8">
        <v>8.1353263117657075</v>
      </c>
      <c r="D8">
        <f t="shared" si="1461"/>
        <v>5</v>
      </c>
      <c r="E8">
        <f t="shared" si="1451"/>
        <v>1.16359192021175</v>
      </c>
      <c r="F8">
        <f t="shared" si="1463"/>
        <v>1.9940239659958801</v>
      </c>
      <c r="I8" t="s">
        <v>464</v>
      </c>
      <c r="J8" s="18">
        <f>SUMSQ(F6:F107)</f>
        <v>124.82657498760901</v>
      </c>
      <c r="V8">
        <f t="shared" si="1452"/>
        <v>5</v>
      </c>
      <c r="W8">
        <f t="shared" si="1453"/>
        <v>1.16359192021175</v>
      </c>
      <c r="X8">
        <f t="shared" si="1454"/>
        <v>1.9940239659958801</v>
      </c>
      <c r="Y8">
        <f t="shared" si="1455"/>
        <v>-0.83043204578412999</v>
      </c>
      <c r="Z8">
        <f t="shared" si="1456"/>
        <v>1.1062504015180801</v>
      </c>
      <c r="AA8">
        <f t="shared" si="1457"/>
        <v>-2.9986428837675398</v>
      </c>
      <c r="AB8">
        <f t="shared" si="1458"/>
        <v>1.3377787921992801</v>
      </c>
      <c r="AD8">
        <f t="shared" si="1462"/>
        <v>5</v>
      </c>
      <c r="AE8">
        <f t="shared" si="1459"/>
        <v>8.1353263117657093</v>
      </c>
    </row>
    <row r="9">
      <c r="A9">
        <f t="shared" si="1460"/>
        <v>6</v>
      </c>
      <c r="B9">
        <v>9.3448674266459744</v>
      </c>
      <c r="D9">
        <f t="shared" si="1461"/>
        <v>6</v>
      </c>
      <c r="E9">
        <f>B10-B9-J$6</f>
        <v>-0.24316593742734299</v>
      </c>
      <c r="F9">
        <f t="shared" si="1463"/>
        <v>0.33159400638821002</v>
      </c>
      <c r="L9" s="24" t="s">
        <v>469</v>
      </c>
      <c r="M9" s="24" t="s">
        <v>470</v>
      </c>
      <c r="N9" s="24" t="s">
        <v>484</v>
      </c>
      <c r="V9">
        <f t="shared" si="1452"/>
        <v>6</v>
      </c>
      <c r="W9">
        <f t="shared" si="1453"/>
        <v>-0.24316593742734299</v>
      </c>
      <c r="X9">
        <f t="shared" si="1454"/>
        <v>0.33159400638821002</v>
      </c>
      <c r="Y9">
        <f t="shared" si="1455"/>
        <v>-0.57475994381555295</v>
      </c>
      <c r="Z9">
        <f t="shared" si="1456"/>
        <v>1.1062504015180801</v>
      </c>
      <c r="AA9">
        <f t="shared" si="1457"/>
        <v>-2.7429707817989599</v>
      </c>
      <c r="AB9">
        <f t="shared" si="1458"/>
        <v>1.59345089416786</v>
      </c>
      <c r="AD9">
        <f t="shared" si="1462"/>
        <v>6</v>
      </c>
      <c r="AE9">
        <f t="shared" si="1459"/>
        <v>9.3448674266459797</v>
      </c>
    </row>
    <row r="10">
      <c r="A10">
        <f t="shared" si="1460"/>
        <v>7</v>
      </c>
      <c r="B10">
        <v>9.1476506838871607</v>
      </c>
      <c r="D10">
        <f t="shared" si="1461"/>
        <v>7</v>
      </c>
      <c r="E10">
        <f t="shared" ref="E10:E73" si="1464">B11-B10-J$6</f>
        <v>-1.0921065972527</v>
      </c>
      <c r="F10">
        <f>E10-SUMPRODUCT(E8:E9,I$4:I$5)-SUMPRODUCT(F9,J$5)</f>
        <v>-1.29262551497602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V10">
        <f t="shared" ref="V10:V73" si="1465">D10</f>
        <v>7</v>
      </c>
      <c r="W10">
        <f t="shared" ref="W10:W73" si="1466">E10</f>
        <v>-1.0921065972527</v>
      </c>
      <c r="X10">
        <f t="shared" ref="X10:X73" si="1467">F10</f>
        <v>-1.29262551497602</v>
      </c>
      <c r="Y10">
        <f t="shared" ref="Y10:Y73" si="1468">W10-X10</f>
        <v>0.20051891772332003</v>
      </c>
      <c r="Z10">
        <f t="shared" si="1456"/>
        <v>1.1062504015180801</v>
      </c>
      <c r="AA10">
        <f t="shared" ref="AA10:AA73" si="1469">Y10-NORMSINV(1-Z$2/2)*Z10</f>
        <v>-1.96769192026009</v>
      </c>
      <c r="AB10">
        <f t="shared" ref="AB10:AB73" si="1470">Y10+NORMSINV(1-Z$2/2)*Z10</f>
        <v>2.3687297557067302</v>
      </c>
      <c r="AD10">
        <f t="shared" si="1462"/>
        <v>7</v>
      </c>
      <c r="AE10">
        <f t="shared" ref="AE10:AE73" si="1471">B10</f>
        <v>9.1476506838871607</v>
      </c>
    </row>
    <row r="11">
      <c r="A11">
        <f t="shared" ref="A11:A74" si="1472">A10+1</f>
        <v>8</v>
      </c>
      <c r="B11">
        <v>8.101493281302977</v>
      </c>
      <c r="D11">
        <f t="shared" ref="D11:D74" si="1473">D10+1</f>
        <v>8</v>
      </c>
      <c r="E11">
        <f t="shared" si="1464"/>
        <v>1.9989765532014001</v>
      </c>
      <c r="F11">
        <f>E11-SUMPRODUCT(E9:E10,I$4:I$5)-SUMPRODUCT(F10,J$5)</f>
        <v>1.1813911213611501</v>
      </c>
      <c r="I11" t="s">
        <v>498</v>
      </c>
      <c r="J11" s="10">
        <v>1</v>
      </c>
      <c r="V11">
        <f t="shared" si="1465"/>
        <v>8</v>
      </c>
      <c r="W11">
        <f t="shared" si="1466"/>
        <v>1.9989765532014001</v>
      </c>
      <c r="X11">
        <f t="shared" si="1467"/>
        <v>1.1813911213611501</v>
      </c>
      <c r="Y11">
        <f t="shared" si="1468"/>
        <v>0.81758543184025001</v>
      </c>
      <c r="Z11">
        <f t="shared" si="1456"/>
        <v>1.1062504015180801</v>
      </c>
      <c r="AA11">
        <f t="shared" si="1469"/>
        <v>-1.35062540614316</v>
      </c>
      <c r="AB11">
        <f t="shared" si="1470"/>
        <v>2.98579626982366</v>
      </c>
      <c r="AD11">
        <f t="shared" ref="AD11:AD74" si="1474">AD10+1</f>
        <v>8</v>
      </c>
      <c r="AE11">
        <f t="shared" si="1471"/>
        <v>8.1014932813029805</v>
      </c>
    </row>
    <row r="12">
      <c r="A12">
        <f t="shared" si="1472"/>
        <v>9</v>
      </c>
      <c r="B12">
        <v>10.146419029172929</v>
      </c>
      <c r="D12">
        <f t="shared" si="1473"/>
        <v>9</v>
      </c>
      <c r="E12">
        <f t="shared" si="1464"/>
        <v>0.85282812516277606</v>
      </c>
      <c r="F12">
        <f t="shared" ref="F12:F75" si="1475">E12-SUMPRODUCT(E10:E11,I$4:I$5)-SUMPRODUCT(F11,J$5)</f>
        <v>1.9429995119274901</v>
      </c>
      <c r="I12" t="s">
        <v>181</v>
      </c>
      <c r="J12" s="10">
        <v>1</v>
      </c>
      <c r="L12" t="s">
        <v>499</v>
      </c>
      <c r="V12">
        <f t="shared" si="1465"/>
        <v>9</v>
      </c>
      <c r="W12">
        <f t="shared" si="1466"/>
        <v>0.85282812516277606</v>
      </c>
      <c r="X12">
        <f t="shared" si="1467"/>
        <v>1.9429995119274901</v>
      </c>
      <c r="Y12">
        <f t="shared" si="1468"/>
        <v>-1.09017138676471</v>
      </c>
      <c r="Z12">
        <f t="shared" si="1456"/>
        <v>1.1062504015180801</v>
      </c>
      <c r="AA12">
        <f t="shared" si="1469"/>
        <v>-3.2583822247481198</v>
      </c>
      <c r="AB12">
        <f t="shared" si="1470"/>
        <v>1.0780394512186999</v>
      </c>
      <c r="AD12">
        <f t="shared" si="1474"/>
        <v>9</v>
      </c>
      <c r="AE12">
        <f t="shared" si="1471"/>
        <v>10.1464190291729</v>
      </c>
    </row>
    <row r="13">
      <c r="A13">
        <f t="shared" si="1472"/>
        <v>10</v>
      </c>
      <c r="B13">
        <v>11.045196349004179</v>
      </c>
      <c r="D13">
        <f t="shared" si="1473"/>
        <v>10</v>
      </c>
      <c r="E13">
        <f t="shared" si="1464"/>
        <v>-0.96856746348972389</v>
      </c>
      <c r="F13">
        <f t="shared" si="1475"/>
        <v>-0.34328427190080002</v>
      </c>
      <c r="I13" t="s">
        <v>500</v>
      </c>
      <c r="J13" s="10">
        <f>AVERAGE(F6:F107)</f>
        <v>8.5549926757382988e-02</v>
      </c>
      <c r="V13">
        <f t="shared" si="1465"/>
        <v>10</v>
      </c>
      <c r="W13">
        <f t="shared" si="1466"/>
        <v>-0.96856746348972389</v>
      </c>
      <c r="X13">
        <f t="shared" si="1467"/>
        <v>-0.34328427190080002</v>
      </c>
      <c r="Y13">
        <f t="shared" si="1468"/>
        <v>-0.62528319158892398</v>
      </c>
      <c r="Z13">
        <f t="shared" si="1456"/>
        <v>1.1062504015180801</v>
      </c>
      <c r="AA13">
        <f t="shared" si="1469"/>
        <v>-2.7934940295723298</v>
      </c>
      <c r="AB13">
        <f t="shared" si="1470"/>
        <v>1.5429276463944901</v>
      </c>
      <c r="AD13">
        <f t="shared" si="1474"/>
        <v>10</v>
      </c>
      <c r="AE13">
        <f t="shared" si="1471"/>
        <v>11.0451963490042</v>
      </c>
    </row>
    <row r="14">
      <c r="A14">
        <f t="shared" si="1472"/>
        <v>11</v>
      </c>
      <c r="B14">
        <v>10.122578080182986</v>
      </c>
      <c r="D14">
        <f t="shared" si="1473"/>
        <v>11</v>
      </c>
      <c r="E14">
        <f t="shared" si="1464"/>
        <v>5.0749696005760007e-03</v>
      </c>
      <c r="F14">
        <f t="shared" si="1475"/>
        <v>-0.45924210400413906</v>
      </c>
      <c r="I14" t="s">
        <v>502</v>
      </c>
      <c r="J14" s="10">
        <f>STDEV(F6:F107)</f>
        <v>1.1083841526341101</v>
      </c>
      <c r="L14" s="24" t="s">
        <v>481</v>
      </c>
      <c r="M14" s="24" t="s">
        <v>501</v>
      </c>
      <c r="V14">
        <f t="shared" si="1465"/>
        <v>11</v>
      </c>
      <c r="W14">
        <f t="shared" si="1466"/>
        <v>5.0749696005760007e-03</v>
      </c>
      <c r="X14">
        <f t="shared" si="1467"/>
        <v>-0.45924210400413906</v>
      </c>
      <c r="Y14">
        <f t="shared" si="1468"/>
        <v>0.46431707360471497</v>
      </c>
      <c r="Z14">
        <f t="shared" si="1456"/>
        <v>1.1062504015180801</v>
      </c>
      <c r="AA14">
        <f t="shared" si="1469"/>
        <v>-1.7038937643787</v>
      </c>
      <c r="AB14">
        <f t="shared" si="1470"/>
        <v>2.6325279115881299</v>
      </c>
      <c r="AD14">
        <f t="shared" si="1474"/>
        <v>11</v>
      </c>
      <c r="AE14">
        <f t="shared" si="1471"/>
        <v>10.122578080183001</v>
      </c>
    </row>
    <row r="15">
      <c r="A15">
        <f t="shared" si="1472"/>
        <v>12</v>
      </c>
      <c r="B15">
        <v>10.173602244452049</v>
      </c>
      <c r="D15">
        <f t="shared" si="1473"/>
        <v>12</v>
      </c>
      <c r="E15">
        <f t="shared" si="1464"/>
        <v>0.60175836177217601</v>
      </c>
      <c r="F15">
        <f t="shared" si="1475"/>
        <v>0.650136590847193</v>
      </c>
      <c r="I15" t="s">
        <v>503</v>
      </c>
      <c r="J15" s="10">
        <f>SQRT(J8/J18)</f>
        <v>1.1062504015180801</v>
      </c>
      <c r="L15" s="42">
        <v>0</v>
      </c>
      <c r="M15" s="42" t="e">
        <v>#NAME?</v>
      </c>
      <c r="V15">
        <f t="shared" si="1465"/>
        <v>12</v>
      </c>
      <c r="W15">
        <f t="shared" si="1466"/>
        <v>0.60175836177217601</v>
      </c>
      <c r="X15">
        <f t="shared" si="1467"/>
        <v>0.650136590847193</v>
      </c>
      <c r="Y15">
        <f t="shared" si="1468"/>
        <v>-4.8378229075016994e-02</v>
      </c>
      <c r="Z15">
        <f t="shared" si="1456"/>
        <v>1.1062504015180801</v>
      </c>
      <c r="AA15">
        <f t="shared" si="1469"/>
        <v>-2.2165890670584298</v>
      </c>
      <c r="AB15">
        <f t="shared" si="1470"/>
        <v>2.1198326089083901</v>
      </c>
      <c r="AD15">
        <f t="shared" si="1474"/>
        <v>12</v>
      </c>
      <c r="AE15">
        <f t="shared" si="1471"/>
        <v>10.1736022444521</v>
      </c>
    </row>
    <row r="16">
      <c r="A16">
        <f t="shared" si="1472"/>
        <v>13</v>
      </c>
      <c r="B16">
        <v>10.821309800892813</v>
      </c>
      <c r="D16">
        <f t="shared" si="1473"/>
        <v>13</v>
      </c>
      <c r="E16">
        <f t="shared" si="1464"/>
        <v>-0.783195745987325</v>
      </c>
      <c r="F16">
        <f t="shared" si="1475"/>
        <v>-0.32705060063262797</v>
      </c>
      <c r="I16" t="s">
        <v>504</v>
      </c>
      <c r="J16" s="10">
        <f>AVERAGE(E6:E107)</f>
        <v>2.3148809812861999e-02</v>
      </c>
      <c r="L16">
        <f t="shared" ref="L16:L19" si="1476">L15+1</f>
        <v>1</v>
      </c>
      <c r="M16" t="e">
        <v>#NAME?</v>
      </c>
      <c r="V16">
        <f t="shared" si="1465"/>
        <v>13</v>
      </c>
      <c r="W16">
        <f t="shared" si="1466"/>
        <v>-0.783195745987325</v>
      </c>
      <c r="X16">
        <f t="shared" si="1467"/>
        <v>-0.32705060063262797</v>
      </c>
      <c r="Y16">
        <f t="shared" si="1468"/>
        <v>-0.45614514535469708</v>
      </c>
      <c r="Z16">
        <f t="shared" si="1456"/>
        <v>1.1062504015180801</v>
      </c>
      <c r="AA16">
        <f t="shared" si="1469"/>
        <v>-2.62435598333811</v>
      </c>
      <c r="AB16">
        <f t="shared" si="1470"/>
        <v>1.7120656926287099</v>
      </c>
      <c r="AD16">
        <f t="shared" si="1474"/>
        <v>13</v>
      </c>
      <c r="AE16">
        <f t="shared" si="1471"/>
        <v>10.8213098008928</v>
      </c>
    </row>
    <row r="17">
      <c r="A17">
        <f t="shared" si="1472"/>
        <v>14</v>
      </c>
      <c r="B17">
        <v>10.084063249573955</v>
      </c>
      <c r="D17">
        <f t="shared" si="1473"/>
        <v>14</v>
      </c>
      <c r="E17">
        <f t="shared" si="1464"/>
        <v>0.216041611312977</v>
      </c>
      <c r="F17">
        <f t="shared" si="1475"/>
        <v>-0.16317962258166299</v>
      </c>
      <c r="I17" t="s">
        <v>505</v>
      </c>
      <c r="J17" s="10">
        <f>STDEV(E6:E107)</f>
        <v>1.28275778824005</v>
      </c>
      <c r="L17">
        <f t="shared" si="1476"/>
        <v>2</v>
      </c>
      <c r="M17" t="e">
        <v>#NAME?</v>
      </c>
      <c r="V17">
        <f t="shared" si="1465"/>
        <v>14</v>
      </c>
      <c r="W17">
        <f t="shared" si="1466"/>
        <v>0.216041611312977</v>
      </c>
      <c r="X17">
        <f t="shared" si="1467"/>
        <v>-0.16317962258166299</v>
      </c>
      <c r="Y17">
        <f t="shared" si="1468"/>
        <v>0.37922123389464002</v>
      </c>
      <c r="Z17">
        <f t="shared" si="1456"/>
        <v>1.1062504015180801</v>
      </c>
      <c r="AA17">
        <f t="shared" si="1469"/>
        <v>-1.7889896040887701</v>
      </c>
      <c r="AB17">
        <f t="shared" si="1470"/>
        <v>2.5474320718780499</v>
      </c>
      <c r="AD17">
        <f t="shared" si="1474"/>
        <v>14</v>
      </c>
      <c r="AE17">
        <f t="shared" si="1471"/>
        <v>10.084063249573999</v>
      </c>
    </row>
    <row r="18">
      <c r="A18">
        <f t="shared" si="1472"/>
        <v>15</v>
      </c>
      <c r="B18">
        <v>10.346054055555475</v>
      </c>
      <c r="D18">
        <f t="shared" si="1473"/>
        <v>15</v>
      </c>
      <c r="E18">
        <f t="shared" si="1464"/>
        <v>-0.69980031092142403</v>
      </c>
      <c r="F18">
        <f t="shared" si="1475"/>
        <v>-0.52122993868211798</v>
      </c>
      <c r="I18" t="s">
        <v>506</v>
      </c>
      <c r="J18" s="13">
        <f>COUNT(E6:E107)</f>
        <v>102</v>
      </c>
      <c r="L18">
        <f t="shared" si="1476"/>
        <v>3</v>
      </c>
      <c r="M18" t="e">
        <v>#NAME?</v>
      </c>
      <c r="V18">
        <f t="shared" si="1465"/>
        <v>15</v>
      </c>
      <c r="W18">
        <f t="shared" si="1466"/>
        <v>-0.69980031092142403</v>
      </c>
      <c r="X18">
        <f t="shared" si="1467"/>
        <v>-0.52122993868211798</v>
      </c>
      <c r="Y18">
        <f t="shared" si="1468"/>
        <v>-0.178570372239306</v>
      </c>
      <c r="Z18">
        <f t="shared" si="1456"/>
        <v>1.1062504015180801</v>
      </c>
      <c r="AA18">
        <f t="shared" si="1469"/>
        <v>-2.3467812102227201</v>
      </c>
      <c r="AB18">
        <f t="shared" si="1470"/>
        <v>1.9896404657441</v>
      </c>
      <c r="AD18">
        <f t="shared" si="1474"/>
        <v>15</v>
      </c>
      <c r="AE18">
        <f t="shared" si="1471"/>
        <v>10.3460540555555</v>
      </c>
    </row>
    <row r="19">
      <c r="A19">
        <f t="shared" si="1472"/>
        <v>16</v>
      </c>
      <c r="B19">
        <v>9.6922029393025948</v>
      </c>
      <c r="D19">
        <f t="shared" si="1473"/>
        <v>16</v>
      </c>
      <c r="E19">
        <f t="shared" si="1464"/>
        <v>1.46742263665478</v>
      </c>
      <c r="F19">
        <f t="shared" si="1475"/>
        <v>1.0636870645710601</v>
      </c>
      <c r="L19" s="14">
        <f t="shared" si="1476"/>
        <v>4</v>
      </c>
      <c r="M19" s="14" t="e">
        <v>#NAME?</v>
      </c>
      <c r="V19">
        <f t="shared" si="1465"/>
        <v>16</v>
      </c>
      <c r="W19">
        <f t="shared" si="1466"/>
        <v>1.46742263665478</v>
      </c>
      <c r="X19">
        <f t="shared" si="1467"/>
        <v>1.0636870645710601</v>
      </c>
      <c r="Y19">
        <f t="shared" si="1468"/>
        <v>0.40373557208372002</v>
      </c>
      <c r="Z19">
        <f t="shared" si="1456"/>
        <v>1.1062504015180801</v>
      </c>
      <c r="AA19">
        <f t="shared" si="1469"/>
        <v>-1.7644752658996901</v>
      </c>
      <c r="AB19">
        <f t="shared" si="1470"/>
        <v>2.5719464100671301</v>
      </c>
      <c r="AD19">
        <f t="shared" si="1474"/>
        <v>16</v>
      </c>
      <c r="AE19">
        <f t="shared" si="1471"/>
        <v>9.6922029393026001</v>
      </c>
    </row>
    <row r="20">
      <c r="A20">
        <f t="shared" si="1472"/>
        <v>17</v>
      </c>
      <c r="B20">
        <v>11.205574770625869</v>
      </c>
      <c r="D20">
        <f t="shared" si="1473"/>
        <v>17</v>
      </c>
      <c r="E20">
        <f t="shared" si="1464"/>
        <v>1.40059245122038</v>
      </c>
      <c r="F20">
        <f t="shared" si="1475"/>
        <v>2.35361140898969</v>
      </c>
      <c r="I20" t="s">
        <v>507</v>
      </c>
      <c r="J20" s="7">
        <f>-(J23-2*(J10+J11+2))/2</f>
        <v>-155.03131097687799</v>
      </c>
      <c r="V20">
        <f t="shared" si="1465"/>
        <v>17</v>
      </c>
      <c r="W20">
        <f t="shared" si="1466"/>
        <v>1.40059245122038</v>
      </c>
      <c r="X20">
        <f t="shared" si="1467"/>
        <v>2.35361140898969</v>
      </c>
      <c r="Y20">
        <f t="shared" si="1468"/>
        <v>-0.95301895776931</v>
      </c>
      <c r="Z20">
        <f t="shared" si="1456"/>
        <v>1.1062504015180801</v>
      </c>
      <c r="AA20">
        <f t="shared" si="1469"/>
        <v>-3.1212297957527202</v>
      </c>
      <c r="AB20">
        <f t="shared" si="1470"/>
        <v>1.2151918802141</v>
      </c>
      <c r="AD20">
        <f t="shared" si="1474"/>
        <v>17</v>
      </c>
      <c r="AE20">
        <f t="shared" si="1471"/>
        <v>11.205574770625899</v>
      </c>
    </row>
    <row r="21">
      <c r="A21">
        <f t="shared" si="1472"/>
        <v>18</v>
      </c>
      <c r="B21">
        <v>12.652116416514845</v>
      </c>
      <c r="D21">
        <f t="shared" si="1473"/>
        <v>18</v>
      </c>
      <c r="E21">
        <f t="shared" si="1464"/>
        <v>0.70826355745207603</v>
      </c>
      <c r="F21">
        <f t="shared" si="1475"/>
        <v>1.8545599132208399</v>
      </c>
      <c r="I21" t="s">
        <v>374</v>
      </c>
      <c r="J21" s="10">
        <f>J18*LN(J8/J18)+2*(J10+J11+2)</f>
        <v>30.599161180003001</v>
      </c>
      <c r="V21">
        <f t="shared" si="1465"/>
        <v>18</v>
      </c>
      <c r="W21">
        <f t="shared" si="1466"/>
        <v>0.70826355745207603</v>
      </c>
      <c r="X21">
        <f t="shared" si="1467"/>
        <v>1.8545599132208399</v>
      </c>
      <c r="Y21">
        <f t="shared" si="1468"/>
        <v>-1.14629635576876</v>
      </c>
      <c r="Z21">
        <f t="shared" si="1456"/>
        <v>1.1062504015180801</v>
      </c>
      <c r="AA21">
        <f t="shared" si="1469"/>
        <v>-3.3145071937521702</v>
      </c>
      <c r="AB21">
        <f t="shared" si="1470"/>
        <v>1.02191448221465</v>
      </c>
      <c r="AD21">
        <f t="shared" si="1474"/>
        <v>18</v>
      </c>
      <c r="AE21">
        <f t="shared" si="1471"/>
        <v>12.652116416514801</v>
      </c>
    </row>
    <row r="22">
      <c r="A22">
        <f t="shared" si="1472"/>
        <v>19</v>
      </c>
      <c r="B22">
        <v>13.406329168635398</v>
      </c>
      <c r="D22">
        <f t="shared" si="1473"/>
        <v>19</v>
      </c>
      <c r="E22">
        <f t="shared" si="1464"/>
        <v>-1.22106043311992</v>
      </c>
      <c r="F22">
        <f t="shared" si="1475"/>
        <v>-0.29994955358717001</v>
      </c>
      <c r="I22" t="s">
        <v>508</v>
      </c>
      <c r="J22" s="10">
        <f>J18*LN(J8/J18)+LN(J18)*(J10+J11+2)</f>
        <v>43.724025246424397</v>
      </c>
      <c r="V22">
        <f t="shared" si="1465"/>
        <v>19</v>
      </c>
      <c r="W22">
        <f t="shared" si="1466"/>
        <v>-1.22106043311992</v>
      </c>
      <c r="X22">
        <f t="shared" si="1467"/>
        <v>-0.29994955358717001</v>
      </c>
      <c r="Y22">
        <f t="shared" si="1468"/>
        <v>-0.92111087953274995</v>
      </c>
      <c r="Z22">
        <f t="shared" si="1456"/>
        <v>1.1062504015180801</v>
      </c>
      <c r="AA22">
        <f t="shared" si="1469"/>
        <v>-3.0893217175161598</v>
      </c>
      <c r="AB22">
        <f t="shared" si="1470"/>
        <v>1.2470999584506599</v>
      </c>
      <c r="AD22">
        <f t="shared" si="1474"/>
        <v>19</v>
      </c>
      <c r="AE22">
        <f t="shared" si="1471"/>
        <v>13.4063291686354</v>
      </c>
    </row>
    <row r="23">
      <c r="A23">
        <f t="shared" si="1472"/>
        <v>20</v>
      </c>
      <c r="B23">
        <v>12.231217930183975</v>
      </c>
      <c r="D23">
        <f t="shared" si="1473"/>
        <v>20</v>
      </c>
      <c r="E23">
        <f t="shared" si="1464"/>
        <v>-0.16019266889332401</v>
      </c>
      <c r="F23">
        <f t="shared" si="1475"/>
        <v>-0.39917234703489102</v>
      </c>
      <c r="I23" t="s">
        <v>509</v>
      </c>
      <c r="J23" s="10">
        <f>J18*(1+LN(2*PI()))+J21</f>
        <v>320.06262195375598</v>
      </c>
      <c r="V23">
        <f t="shared" si="1465"/>
        <v>20</v>
      </c>
      <c r="W23">
        <f t="shared" si="1466"/>
        <v>-0.16019266889332401</v>
      </c>
      <c r="X23">
        <f t="shared" si="1467"/>
        <v>-0.39917234703489102</v>
      </c>
      <c r="Y23">
        <f t="shared" si="1468"/>
        <v>0.23897967814156701</v>
      </c>
      <c r="Z23">
        <f t="shared" si="1456"/>
        <v>1.1062504015180801</v>
      </c>
      <c r="AA23">
        <f t="shared" si="1469"/>
        <v>-1.9292311598418399</v>
      </c>
      <c r="AB23">
        <f t="shared" si="1470"/>
        <v>2.40719051612498</v>
      </c>
      <c r="AD23">
        <f t="shared" si="1474"/>
        <v>20</v>
      </c>
      <c r="AE23">
        <f t="shared" si="1471"/>
        <v>12.231217930184</v>
      </c>
    </row>
    <row r="24">
      <c r="A24">
        <f t="shared" si="1472"/>
        <v>21</v>
      </c>
      <c r="B24">
        <v>12.116974455959236</v>
      </c>
      <c r="D24">
        <f t="shared" si="1473"/>
        <v>21</v>
      </c>
      <c r="E24">
        <f t="shared" si="1464"/>
        <v>-1.70303475626682</v>
      </c>
      <c r="F24">
        <f t="shared" si="1475"/>
        <v>-1.38526906665452</v>
      </c>
      <c r="I24" t="s">
        <v>510</v>
      </c>
      <c r="J24" s="13">
        <f>J18*(1+LN(2*PI()))+J22</f>
        <v>333.187486020177</v>
      </c>
      <c r="V24">
        <f t="shared" si="1465"/>
        <v>21</v>
      </c>
      <c r="W24">
        <f t="shared" si="1466"/>
        <v>-1.70303475626682</v>
      </c>
      <c r="X24">
        <f t="shared" si="1467"/>
        <v>-1.38526906665452</v>
      </c>
      <c r="Y24">
        <f t="shared" si="1468"/>
        <v>-0.31776568961230001</v>
      </c>
      <c r="Z24">
        <f t="shared" si="1456"/>
        <v>1.1062504015180801</v>
      </c>
      <c r="AA24">
        <f t="shared" si="1469"/>
        <v>-2.4859765275957102</v>
      </c>
      <c r="AB24">
        <f t="shared" si="1470"/>
        <v>1.85044514837111</v>
      </c>
      <c r="AD24">
        <f t="shared" si="1474"/>
        <v>21</v>
      </c>
      <c r="AE24">
        <f t="shared" si="1471"/>
        <v>12.1169744559592</v>
      </c>
    </row>
    <row r="25">
      <c r="A25">
        <f t="shared" si="1472"/>
        <v>22</v>
      </c>
      <c r="B25">
        <v>10.45988889436091</v>
      </c>
      <c r="D25">
        <f t="shared" si="1473"/>
        <v>22</v>
      </c>
      <c r="E25">
        <f t="shared" si="1464"/>
        <v>-1.05938041794819</v>
      </c>
      <c r="F25">
        <f t="shared" si="1475"/>
        <v>-1.7838669879423801</v>
      </c>
      <c r="V25">
        <f t="shared" si="1465"/>
        <v>22</v>
      </c>
      <c r="W25">
        <f t="shared" si="1466"/>
        <v>-1.05938041794819</v>
      </c>
      <c r="X25">
        <f t="shared" si="1467"/>
        <v>-1.7838669879423801</v>
      </c>
      <c r="Y25">
        <f t="shared" si="1468"/>
        <v>0.72448656999419003</v>
      </c>
      <c r="Z25">
        <f t="shared" si="1456"/>
        <v>1.1062504015180801</v>
      </c>
      <c r="AA25">
        <f t="shared" si="1469"/>
        <v>-1.4437242679892199</v>
      </c>
      <c r="AB25">
        <f t="shared" si="1470"/>
        <v>2.8926974079776002</v>
      </c>
      <c r="AD25">
        <f t="shared" si="1474"/>
        <v>22</v>
      </c>
      <c r="AE25">
        <f t="shared" si="1471"/>
        <v>10.459888894360899</v>
      </c>
    </row>
    <row r="26">
      <c r="A26">
        <f t="shared" si="1472"/>
        <v>23</v>
      </c>
      <c r="B26">
        <v>9.4464576710812267</v>
      </c>
      <c r="D26">
        <f t="shared" si="1473"/>
        <v>23</v>
      </c>
      <c r="E26">
        <f t="shared" si="1464"/>
        <v>1.6886235690445499</v>
      </c>
      <c r="F26">
        <f t="shared" si="1475"/>
        <v>1.14856894944275</v>
      </c>
      <c r="I26" t="s">
        <v>496</v>
      </c>
      <c r="J26" s="16" t="s">
        <v>363</v>
      </c>
      <c r="V26">
        <f t="shared" si="1465"/>
        <v>23</v>
      </c>
      <c r="W26">
        <f t="shared" si="1466"/>
        <v>1.6886235690445499</v>
      </c>
      <c r="X26">
        <f t="shared" si="1467"/>
        <v>1.14856894944275</v>
      </c>
      <c r="Y26">
        <f t="shared" si="1468"/>
        <v>0.54005461960180001</v>
      </c>
      <c r="Z26">
        <f t="shared" si="1456"/>
        <v>1.1062504015180801</v>
      </c>
      <c r="AA26">
        <f t="shared" si="1469"/>
        <v>-1.6281562183816101</v>
      </c>
      <c r="AB26">
        <f t="shared" si="1470"/>
        <v>2.7082654575852101</v>
      </c>
      <c r="AD26">
        <f t="shared" si="1474"/>
        <v>23</v>
      </c>
      <c r="AE26">
        <f t="shared" si="1471"/>
        <v>9.4464576710812302</v>
      </c>
    </row>
    <row r="27">
      <c r="A27">
        <f t="shared" si="1472"/>
        <v>24</v>
      </c>
      <c r="B27">
        <v>11.181030434794319</v>
      </c>
      <c r="D27">
        <f t="shared" si="1473"/>
        <v>24</v>
      </c>
      <c r="E27">
        <f t="shared" si="1464"/>
        <v>-3.64161941311714</v>
      </c>
      <c r="F27">
        <f t="shared" si="1475"/>
        <v>-2.48370248179527</v>
      </c>
      <c r="V27">
        <f t="shared" si="1465"/>
        <v>24</v>
      </c>
      <c r="W27">
        <f t="shared" si="1466"/>
        <v>-3.64161941311714</v>
      </c>
      <c r="X27">
        <f t="shared" si="1467"/>
        <v>-2.48370248179527</v>
      </c>
      <c r="Y27">
        <f t="shared" si="1468"/>
        <v>-1.15791693132187</v>
      </c>
      <c r="Z27">
        <f t="shared" si="1456"/>
        <v>1.1062504015180801</v>
      </c>
      <c r="AA27">
        <f t="shared" si="1469"/>
        <v>-3.32612776930528</v>
      </c>
      <c r="AB27">
        <f t="shared" si="1470"/>
        <v>1.01029390666154</v>
      </c>
      <c r="AD27">
        <f t="shared" si="1474"/>
        <v>24</v>
      </c>
      <c r="AE27">
        <f t="shared" si="1471"/>
        <v>11.1810304347943</v>
      </c>
    </row>
    <row r="28">
      <c r="A28">
        <f t="shared" si="1472"/>
        <v>25</v>
      </c>
      <c r="B28">
        <v>7.5853602163456753</v>
      </c>
      <c r="D28">
        <f t="shared" si="1473"/>
        <v>25</v>
      </c>
      <c r="E28">
        <f t="shared" si="1464"/>
        <v>3.3472224503975001</v>
      </c>
      <c r="F28">
        <f t="shared" si="1475"/>
        <v>1.1753880070813401</v>
      </c>
      <c r="V28">
        <f t="shared" si="1465"/>
        <v>25</v>
      </c>
      <c r="W28">
        <f t="shared" si="1466"/>
        <v>3.3472224503975001</v>
      </c>
      <c r="X28">
        <f t="shared" si="1467"/>
        <v>1.1753880070813401</v>
      </c>
      <c r="Y28">
        <f t="shared" si="1468"/>
        <v>2.1718344433161598</v>
      </c>
      <c r="Z28">
        <f t="shared" si="1456"/>
        <v>1.1062504015180801</v>
      </c>
      <c r="AA28">
        <f t="shared" si="1469"/>
        <v>3.6236053327500005e-03</v>
      </c>
      <c r="AB28">
        <f t="shared" si="1470"/>
        <v>4.3400452812995702</v>
      </c>
      <c r="AD28">
        <f t="shared" si="1474"/>
        <v>25</v>
      </c>
      <c r="AE28">
        <f t="shared" si="1471"/>
        <v>7.5853602163456797</v>
      </c>
    </row>
    <row r="29">
      <c r="A29">
        <f t="shared" si="1472"/>
        <v>26</v>
      </c>
      <c r="B29">
        <v>10.978531861411668</v>
      </c>
      <c r="D29">
        <f t="shared" si="1473"/>
        <v>26</v>
      </c>
      <c r="E29">
        <f t="shared" si="1464"/>
        <v>-0.47425584745452498</v>
      </c>
      <c r="F29">
        <f t="shared" si="1475"/>
        <v>1.50603101005476</v>
      </c>
      <c r="V29">
        <f t="shared" si="1465"/>
        <v>26</v>
      </c>
      <c r="W29">
        <f t="shared" si="1466"/>
        <v>-0.47425584745452498</v>
      </c>
      <c r="X29">
        <f t="shared" si="1467"/>
        <v>1.50603101005476</v>
      </c>
      <c r="Y29">
        <f t="shared" si="1468"/>
        <v>-1.98028685750929</v>
      </c>
      <c r="Z29">
        <f t="shared" si="1456"/>
        <v>1.1062504015180801</v>
      </c>
      <c r="AA29">
        <f t="shared" si="1469"/>
        <v>-4.1484976954926998</v>
      </c>
      <c r="AB29">
        <f t="shared" si="1470"/>
        <v>0.18792398047412001</v>
      </c>
      <c r="AD29">
        <f t="shared" si="1474"/>
        <v>26</v>
      </c>
      <c r="AE29">
        <f t="shared" si="1471"/>
        <v>10.9785318614117</v>
      </c>
    </row>
    <row r="30">
      <c r="A30">
        <f t="shared" si="1472"/>
        <v>27</v>
      </c>
      <c r="B30">
        <v>10.550225208625736</v>
      </c>
      <c r="D30">
        <f t="shared" si="1473"/>
        <v>27</v>
      </c>
      <c r="E30">
        <f t="shared" si="1464"/>
        <v>0.63128702775077705</v>
      </c>
      <c r="F30">
        <f t="shared" si="1475"/>
        <v>0.55573144968927002</v>
      </c>
      <c r="V30">
        <f t="shared" si="1465"/>
        <v>27</v>
      </c>
      <c r="W30">
        <f t="shared" si="1466"/>
        <v>0.63128702775077705</v>
      </c>
      <c r="X30">
        <f t="shared" si="1467"/>
        <v>0.55573144968927002</v>
      </c>
      <c r="Y30">
        <f t="shared" si="1468"/>
        <v>7.5555578061507006e-02</v>
      </c>
      <c r="Z30">
        <f t="shared" si="1456"/>
        <v>1.1062504015180801</v>
      </c>
      <c r="AA30">
        <f t="shared" si="1469"/>
        <v>-2.0926552599219002</v>
      </c>
      <c r="AB30">
        <f t="shared" si="1470"/>
        <v>2.2437664160449202</v>
      </c>
      <c r="AD30">
        <f t="shared" si="1474"/>
        <v>27</v>
      </c>
      <c r="AE30">
        <f t="shared" si="1471"/>
        <v>10.550225208625699</v>
      </c>
    </row>
    <row r="31">
      <c r="A31">
        <f t="shared" si="1472"/>
        <v>28</v>
      </c>
      <c r="B31">
        <v>11.227461431044995</v>
      </c>
      <c r="D31">
        <f t="shared" si="1473"/>
        <v>28</v>
      </c>
      <c r="E31">
        <f t="shared" si="1464"/>
        <v>-2.1972393001818298</v>
      </c>
      <c r="F31">
        <f t="shared" si="1475"/>
        <v>-1.585931894922</v>
      </c>
      <c r="V31">
        <f t="shared" si="1465"/>
        <v>28</v>
      </c>
      <c r="W31">
        <f t="shared" si="1466"/>
        <v>-2.1972393001818298</v>
      </c>
      <c r="X31">
        <f t="shared" si="1467"/>
        <v>-1.585931894922</v>
      </c>
      <c r="Y31">
        <f t="shared" si="1468"/>
        <v>-0.61130740525982996</v>
      </c>
      <c r="Z31">
        <f t="shared" si="1456"/>
        <v>1.1062504015180801</v>
      </c>
      <c r="AA31">
        <f t="shared" si="1469"/>
        <v>-2.7795182432432401</v>
      </c>
      <c r="AB31">
        <f t="shared" si="1470"/>
        <v>1.55690343272358</v>
      </c>
      <c r="AD31">
        <f t="shared" si="1474"/>
        <v>28</v>
      </c>
      <c r="AE31">
        <f t="shared" si="1471"/>
        <v>11.227461431045</v>
      </c>
    </row>
    <row r="32">
      <c r="A32">
        <f t="shared" si="1472"/>
        <v>29</v>
      </c>
      <c r="B32">
        <v>9.0761713255316874</v>
      </c>
      <c r="D32">
        <f t="shared" si="1473"/>
        <v>29</v>
      </c>
      <c r="E32">
        <f t="shared" si="1464"/>
        <v>0.78737513070832599</v>
      </c>
      <c r="F32">
        <f t="shared" si="1475"/>
        <v>-0.40001715430943002</v>
      </c>
      <c r="V32">
        <f t="shared" si="1465"/>
        <v>29</v>
      </c>
      <c r="W32">
        <f t="shared" si="1466"/>
        <v>0.78737513070832599</v>
      </c>
      <c r="X32">
        <f t="shared" si="1467"/>
        <v>-0.40001715430943002</v>
      </c>
      <c r="Y32">
        <f t="shared" si="1468"/>
        <v>1.1873922850177601</v>
      </c>
      <c r="Z32">
        <f t="shared" si="1456"/>
        <v>1.1062504015180801</v>
      </c>
      <c r="AA32">
        <f t="shared" si="1469"/>
        <v>-0.98081855296565001</v>
      </c>
      <c r="AB32">
        <f t="shared" si="1470"/>
        <v>3.35560312300117</v>
      </c>
      <c r="AD32">
        <f t="shared" si="1474"/>
        <v>29</v>
      </c>
      <c r="AE32">
        <f t="shared" si="1471"/>
        <v>9.0761713255316891</v>
      </c>
    </row>
    <row r="33">
      <c r="A33">
        <f t="shared" si="1472"/>
        <v>30</v>
      </c>
      <c r="B33">
        <v>9.9094956509085357</v>
      </c>
      <c r="D33">
        <f t="shared" si="1473"/>
        <v>30</v>
      </c>
      <c r="E33">
        <f t="shared" si="1464"/>
        <v>1.7281907254040401</v>
      </c>
      <c r="F33">
        <f t="shared" si="1475"/>
        <v>2.2201244301294398</v>
      </c>
      <c r="V33">
        <f t="shared" si="1465"/>
        <v>30</v>
      </c>
      <c r="W33">
        <f t="shared" si="1466"/>
        <v>1.7281907254040401</v>
      </c>
      <c r="X33">
        <f t="shared" si="1467"/>
        <v>2.2201244301294398</v>
      </c>
      <c r="Y33">
        <f t="shared" si="1468"/>
        <v>-0.49193370472540005</v>
      </c>
      <c r="Z33">
        <f t="shared" si="1456"/>
        <v>1.1062504015180801</v>
      </c>
      <c r="AA33">
        <f t="shared" si="1469"/>
        <v>-2.6601445427088102</v>
      </c>
      <c r="AB33">
        <f t="shared" si="1470"/>
        <v>1.67627713325801</v>
      </c>
      <c r="AD33">
        <f t="shared" si="1474"/>
        <v>30</v>
      </c>
      <c r="AE33">
        <f t="shared" si="1471"/>
        <v>9.9094956509085392</v>
      </c>
    </row>
    <row r="34">
      <c r="A34">
        <f t="shared" si="1472"/>
        <v>31</v>
      </c>
      <c r="B34">
        <v>11.683635570981137</v>
      </c>
      <c r="D34">
        <f t="shared" si="1473"/>
        <v>31</v>
      </c>
      <c r="E34">
        <f t="shared" si="1464"/>
        <v>-2.3404666566039598</v>
      </c>
      <c r="F34">
        <f t="shared" si="1475"/>
        <v>-1.0849634454536901</v>
      </c>
      <c r="V34">
        <f t="shared" si="1465"/>
        <v>31</v>
      </c>
      <c r="W34">
        <f t="shared" si="1466"/>
        <v>-2.3404666566039598</v>
      </c>
      <c r="X34">
        <f t="shared" si="1467"/>
        <v>-1.0849634454536901</v>
      </c>
      <c r="Y34">
        <f t="shared" si="1468"/>
        <v>-1.25550321115027</v>
      </c>
      <c r="Z34">
        <f t="shared" si="1456"/>
        <v>1.1062504015180801</v>
      </c>
      <c r="AA34">
        <f t="shared" si="1469"/>
        <v>-3.4237140491336802</v>
      </c>
      <c r="AB34">
        <f t="shared" si="1470"/>
        <v>0.91270762683314</v>
      </c>
      <c r="AD34">
        <f t="shared" si="1474"/>
        <v>31</v>
      </c>
      <c r="AE34">
        <f t="shared" si="1471"/>
        <v>11.6836355709811</v>
      </c>
    </row>
    <row r="35">
      <c r="A35">
        <f t="shared" si="1472"/>
        <v>32</v>
      </c>
      <c r="B35">
        <v>9.3891181090456559</v>
      </c>
      <c r="D35">
        <f t="shared" si="1473"/>
        <v>32</v>
      </c>
      <c r="E35">
        <f t="shared" si="1464"/>
        <v>1.84590004924942</v>
      </c>
      <c r="F35">
        <f t="shared" si="1475"/>
        <v>0.63692563223029997</v>
      </c>
      <c r="V35">
        <f t="shared" si="1465"/>
        <v>32</v>
      </c>
      <c r="W35">
        <f t="shared" si="1466"/>
        <v>1.84590004924942</v>
      </c>
      <c r="X35">
        <f t="shared" si="1467"/>
        <v>0.63692563223029997</v>
      </c>
      <c r="Y35">
        <f t="shared" si="1468"/>
        <v>1.2089744170191199</v>
      </c>
      <c r="Z35">
        <f t="shared" si="1456"/>
        <v>1.1062504015180801</v>
      </c>
      <c r="AA35">
        <f t="shared" si="1469"/>
        <v>-0.95923642096429007</v>
      </c>
      <c r="AB35">
        <f t="shared" si="1470"/>
        <v>3.3771852550025301</v>
      </c>
      <c r="AD35">
        <f t="shared" si="1474"/>
        <v>32</v>
      </c>
      <c r="AE35">
        <f t="shared" si="1471"/>
        <v>9.3891181090456595</v>
      </c>
    </row>
    <row r="36">
      <c r="A36">
        <f t="shared" si="1472"/>
        <v>33</v>
      </c>
      <c r="B36">
        <v>11.280967352963559</v>
      </c>
      <c r="D36">
        <f t="shared" si="1473"/>
        <v>33</v>
      </c>
      <c r="E36">
        <f t="shared" si="1464"/>
        <v>-2.24921649329475</v>
      </c>
      <c r="F36">
        <f t="shared" si="1475"/>
        <v>-0.98383758684803113</v>
      </c>
      <c r="V36">
        <f t="shared" si="1465"/>
        <v>33</v>
      </c>
      <c r="W36">
        <f t="shared" si="1466"/>
        <v>-2.24921649329475</v>
      </c>
      <c r="X36">
        <f t="shared" si="1467"/>
        <v>-0.98383758684803113</v>
      </c>
      <c r="Y36">
        <f t="shared" si="1468"/>
        <v>-1.26537890644672</v>
      </c>
      <c r="Z36">
        <f t="shared" si="1456"/>
        <v>1.1062504015180801</v>
      </c>
      <c r="AA36">
        <f t="shared" si="1469"/>
        <v>-3.43358974443013</v>
      </c>
      <c r="AB36">
        <f t="shared" si="1470"/>
        <v>0.90283193153669006</v>
      </c>
      <c r="AD36">
        <f t="shared" si="1474"/>
        <v>33</v>
      </c>
      <c r="AE36">
        <f t="shared" si="1471"/>
        <v>11.2809673529636</v>
      </c>
    </row>
    <row r="37">
      <c r="A37">
        <f t="shared" si="1472"/>
        <v>34</v>
      </c>
      <c r="B37">
        <v>9.0777000543373685</v>
      </c>
      <c r="D37">
        <f t="shared" si="1473"/>
        <v>34</v>
      </c>
      <c r="E37">
        <f t="shared" si="1464"/>
        <v>0.29820283070429598</v>
      </c>
      <c r="F37">
        <f t="shared" si="1475"/>
        <v>-0.90412797916979293</v>
      </c>
      <c r="V37">
        <f t="shared" si="1465"/>
        <v>34</v>
      </c>
      <c r="W37">
        <f t="shared" si="1466"/>
        <v>0.29820283070429598</v>
      </c>
      <c r="X37">
        <f t="shared" si="1467"/>
        <v>-0.90412797916979293</v>
      </c>
      <c r="Y37">
        <f t="shared" si="1468"/>
        <v>1.2023308098740899</v>
      </c>
      <c r="Z37">
        <f t="shared" si="1456"/>
        <v>1.1062504015180801</v>
      </c>
      <c r="AA37">
        <f t="shared" si="1469"/>
        <v>-0.96588002810931994</v>
      </c>
      <c r="AB37">
        <f t="shared" si="1470"/>
        <v>3.3705416478574999</v>
      </c>
      <c r="AD37">
        <f t="shared" si="1474"/>
        <v>34</v>
      </c>
      <c r="AE37">
        <f t="shared" si="1471"/>
        <v>9.0777000543373703</v>
      </c>
    </row>
    <row r="38">
      <c r="A38">
        <f t="shared" si="1472"/>
        <v>35</v>
      </c>
      <c r="B38">
        <v>9.4218520797101899</v>
      </c>
      <c r="D38">
        <f t="shared" si="1473"/>
        <v>35</v>
      </c>
      <c r="E38">
        <f t="shared" si="1464"/>
        <v>1.3008694923474899</v>
      </c>
      <c r="F38">
        <f t="shared" si="1475"/>
        <v>1.47471474454355</v>
      </c>
      <c r="V38">
        <f t="shared" si="1465"/>
        <v>35</v>
      </c>
      <c r="W38">
        <f t="shared" si="1466"/>
        <v>1.3008694923474899</v>
      </c>
      <c r="X38">
        <f t="shared" si="1467"/>
        <v>1.47471474454355</v>
      </c>
      <c r="Y38">
        <f t="shared" si="1468"/>
        <v>-0.17384525219606001</v>
      </c>
      <c r="Z38">
        <f t="shared" si="1456"/>
        <v>1.1062504015180801</v>
      </c>
      <c r="AA38">
        <f t="shared" si="1469"/>
        <v>-2.34205609017947</v>
      </c>
      <c r="AB38">
        <f t="shared" si="1470"/>
        <v>1.9943655857873499</v>
      </c>
      <c r="AD38">
        <f t="shared" si="1474"/>
        <v>35</v>
      </c>
      <c r="AE38">
        <f t="shared" si="1471"/>
        <v>9.4218520797101899</v>
      </c>
    </row>
    <row r="39">
      <c r="A39">
        <f t="shared" si="1472"/>
        <v>36</v>
      </c>
      <c r="B39">
        <v>10.768670766726222</v>
      </c>
      <c r="D39">
        <f t="shared" si="1473"/>
        <v>36</v>
      </c>
      <c r="E39">
        <f t="shared" si="1464"/>
        <v>-0.769933535174123</v>
      </c>
      <c r="F39">
        <f t="shared" si="1475"/>
        <v>0.12981383215746001</v>
      </c>
      <c r="V39">
        <f t="shared" si="1465"/>
        <v>36</v>
      </c>
      <c r="W39">
        <f t="shared" si="1466"/>
        <v>-0.769933535174123</v>
      </c>
      <c r="X39">
        <f t="shared" si="1467"/>
        <v>0.12981383215746001</v>
      </c>
      <c r="Y39">
        <f t="shared" si="1468"/>
        <v>-0.89974736733158311</v>
      </c>
      <c r="Z39">
        <f t="shared" si="1456"/>
        <v>1.1062504015180801</v>
      </c>
      <c r="AA39">
        <f t="shared" si="1469"/>
        <v>-3.0679582053149899</v>
      </c>
      <c r="AB39">
        <f t="shared" si="1470"/>
        <v>1.2684634706518301</v>
      </c>
      <c r="AD39">
        <f t="shared" si="1474"/>
        <v>36</v>
      </c>
      <c r="AE39">
        <f t="shared" si="1471"/>
        <v>10.768670766726199</v>
      </c>
    </row>
    <row r="40">
      <c r="A40">
        <f t="shared" si="1472"/>
        <v>37</v>
      </c>
      <c r="B40">
        <v>10.044686426220611</v>
      </c>
      <c r="D40">
        <f t="shared" si="1473"/>
        <v>37</v>
      </c>
      <c r="E40">
        <f t="shared" si="1464"/>
        <v>-0.58798808001702396</v>
      </c>
      <c r="F40">
        <f t="shared" si="1475"/>
        <v>-0.87495714601224006</v>
      </c>
      <c r="V40">
        <f t="shared" si="1465"/>
        <v>37</v>
      </c>
      <c r="W40">
        <f t="shared" si="1466"/>
        <v>-0.58798808001702396</v>
      </c>
      <c r="X40">
        <f t="shared" si="1467"/>
        <v>-0.87495714601224006</v>
      </c>
      <c r="Y40">
        <f t="shared" si="1468"/>
        <v>0.28696906599521599</v>
      </c>
      <c r="Z40">
        <f t="shared" si="1456"/>
        <v>1.1062504015180801</v>
      </c>
      <c r="AA40">
        <f t="shared" si="1469"/>
        <v>-1.88124177198819</v>
      </c>
      <c r="AB40">
        <f t="shared" si="1470"/>
        <v>2.45517990397863</v>
      </c>
      <c r="AD40">
        <f t="shared" si="1474"/>
        <v>37</v>
      </c>
      <c r="AE40">
        <f t="shared" si="1471"/>
        <v>10.044686426220601</v>
      </c>
    </row>
    <row r="41">
      <c r="A41">
        <f t="shared" si="1472"/>
        <v>38</v>
      </c>
      <c r="B41">
        <v>9.5026475408720934</v>
      </c>
      <c r="D41">
        <f t="shared" si="1473"/>
        <v>38</v>
      </c>
      <c r="E41">
        <f t="shared" si="1464"/>
        <v>2.4680384096692798</v>
      </c>
      <c r="F41">
        <f t="shared" si="1475"/>
        <v>2.1933439390315899</v>
      </c>
      <c r="V41">
        <f t="shared" si="1465"/>
        <v>38</v>
      </c>
      <c r="W41">
        <f t="shared" si="1466"/>
        <v>2.4680384096692798</v>
      </c>
      <c r="X41">
        <f t="shared" si="1467"/>
        <v>2.1933439390315899</v>
      </c>
      <c r="Y41">
        <f t="shared" si="1468"/>
        <v>0.27469447063768998</v>
      </c>
      <c r="Z41">
        <f t="shared" si="1456"/>
        <v>1.1062504015180801</v>
      </c>
      <c r="AA41">
        <f t="shared" si="1469"/>
        <v>-1.89351636734572</v>
      </c>
      <c r="AB41">
        <f t="shared" si="1470"/>
        <v>2.4429053086210999</v>
      </c>
      <c r="AD41">
        <f t="shared" si="1474"/>
        <v>38</v>
      </c>
      <c r="AE41">
        <f t="shared" si="1471"/>
        <v>9.5026475408721005</v>
      </c>
    </row>
    <row r="42">
      <c r="A42">
        <f t="shared" si="1472"/>
        <v>39</v>
      </c>
      <c r="B42">
        <v>12.016635145209888</v>
      </c>
      <c r="D42">
        <f t="shared" si="1473"/>
        <v>39</v>
      </c>
      <c r="E42">
        <f t="shared" si="1464"/>
        <v>-2.4550019154148601</v>
      </c>
      <c r="F42">
        <f t="shared" si="1475"/>
        <v>-0.74931544861711996</v>
      </c>
      <c r="V42">
        <f t="shared" si="1465"/>
        <v>39</v>
      </c>
      <c r="W42">
        <f t="shared" si="1466"/>
        <v>-2.4550019154148601</v>
      </c>
      <c r="X42">
        <f t="shared" si="1467"/>
        <v>-0.74931544861711996</v>
      </c>
      <c r="Y42">
        <f t="shared" si="1468"/>
        <v>-1.7056864667977401</v>
      </c>
      <c r="Z42">
        <f t="shared" si="1456"/>
        <v>1.1062504015180801</v>
      </c>
      <c r="AA42">
        <f t="shared" si="1469"/>
        <v>-3.87389730478115</v>
      </c>
      <c r="AB42">
        <f t="shared" si="1470"/>
        <v>0.46252437118567002</v>
      </c>
      <c r="AD42">
        <f t="shared" si="1474"/>
        <v>39</v>
      </c>
      <c r="AE42">
        <f t="shared" si="1471"/>
        <v>12.0166351452099</v>
      </c>
    </row>
    <row r="43">
      <c r="A43">
        <f t="shared" si="1472"/>
        <v>40</v>
      </c>
      <c r="B43">
        <v>9.6075824244635548</v>
      </c>
      <c r="D43">
        <f t="shared" si="1473"/>
        <v>40</v>
      </c>
      <c r="E43">
        <f t="shared" si="1464"/>
        <v>0.82526708747791599</v>
      </c>
      <c r="F43">
        <f t="shared" si="1475"/>
        <v>-0.39367178335712</v>
      </c>
      <c r="V43">
        <f t="shared" si="1465"/>
        <v>40</v>
      </c>
      <c r="W43">
        <f t="shared" si="1466"/>
        <v>0.82526708747791599</v>
      </c>
      <c r="X43">
        <f t="shared" si="1467"/>
        <v>-0.39367178335712</v>
      </c>
      <c r="Y43">
        <f t="shared" si="1468"/>
        <v>1.2189388708350399</v>
      </c>
      <c r="Z43">
        <f t="shared" si="1456"/>
        <v>1.1062504015180801</v>
      </c>
      <c r="AA43">
        <f t="shared" si="1469"/>
        <v>-0.94927196714837003</v>
      </c>
      <c r="AB43">
        <f t="shared" si="1470"/>
        <v>3.3871497088184501</v>
      </c>
      <c r="AD43">
        <f t="shared" si="1474"/>
        <v>40</v>
      </c>
      <c r="AE43">
        <f t="shared" si="1471"/>
        <v>9.6075824244635601</v>
      </c>
    </row>
    <row r="44">
      <c r="A44">
        <f t="shared" si="1472"/>
        <v>41</v>
      </c>
      <c r="B44">
        <v>10.47879870661002</v>
      </c>
      <c r="D44">
        <f t="shared" si="1473"/>
        <v>41</v>
      </c>
      <c r="E44">
        <f t="shared" si="1464"/>
        <v>-0.39360190516042398</v>
      </c>
      <c r="F44">
        <f t="shared" si="1475"/>
        <v>0.23412012824336997</v>
      </c>
      <c r="V44">
        <f t="shared" si="1465"/>
        <v>41</v>
      </c>
      <c r="W44">
        <f t="shared" si="1466"/>
        <v>-0.39360190516042398</v>
      </c>
      <c r="X44">
        <f t="shared" si="1467"/>
        <v>0.23412012824336997</v>
      </c>
      <c r="Y44">
        <f t="shared" si="1468"/>
        <v>-0.62772203340379396</v>
      </c>
      <c r="Z44">
        <f t="shared" si="1456"/>
        <v>1.1062504015180801</v>
      </c>
      <c r="AA44">
        <f t="shared" si="1469"/>
        <v>-2.7959328713871998</v>
      </c>
      <c r="AB44">
        <f t="shared" si="1470"/>
        <v>1.5404888045796199</v>
      </c>
      <c r="AD44">
        <f t="shared" si="1474"/>
        <v>41</v>
      </c>
      <c r="AE44">
        <f t="shared" si="1471"/>
        <v>10.47879870661</v>
      </c>
    </row>
    <row r="45">
      <c r="A45">
        <f t="shared" si="1472"/>
        <v>42</v>
      </c>
      <c r="B45">
        <v>10.131145996118136</v>
      </c>
      <c r="D45">
        <f t="shared" si="1473"/>
        <v>42</v>
      </c>
      <c r="E45">
        <f t="shared" si="1464"/>
        <v>-0.86684219769267412</v>
      </c>
      <c r="F45">
        <f t="shared" si="1475"/>
        <v>-0.92395791437553798</v>
      </c>
      <c r="V45">
        <f t="shared" si="1465"/>
        <v>42</v>
      </c>
      <c r="W45">
        <f t="shared" si="1466"/>
        <v>-0.86684219769267412</v>
      </c>
      <c r="X45">
        <f t="shared" si="1467"/>
        <v>-0.92395791437553798</v>
      </c>
      <c r="Y45">
        <f t="shared" si="1468"/>
        <v>5.7115716682863998e-02</v>
      </c>
      <c r="Z45">
        <f t="shared" si="1456"/>
        <v>1.1062504015180801</v>
      </c>
      <c r="AA45">
        <f t="shared" si="1469"/>
        <v>-2.1110951213005502</v>
      </c>
      <c r="AB45">
        <f t="shared" si="1470"/>
        <v>2.2253265546662702</v>
      </c>
      <c r="AD45">
        <f t="shared" si="1474"/>
        <v>42</v>
      </c>
      <c r="AE45">
        <f t="shared" si="1471"/>
        <v>10.1311459961181</v>
      </c>
    </row>
    <row r="46">
      <c r="A46">
        <f t="shared" si="1472"/>
        <v>43</v>
      </c>
      <c r="B46">
        <v>9.3102529930939451</v>
      </c>
      <c r="D46">
        <f t="shared" si="1473"/>
        <v>43</v>
      </c>
      <c r="E46">
        <f t="shared" si="1464"/>
        <v>0.59703526921744599</v>
      </c>
      <c r="F46">
        <f t="shared" si="1475"/>
        <v>0.168860709613743</v>
      </c>
      <c r="V46">
        <f t="shared" si="1465"/>
        <v>43</v>
      </c>
      <c r="W46">
        <f t="shared" si="1466"/>
        <v>0.59703526921744599</v>
      </c>
      <c r="X46">
        <f t="shared" si="1467"/>
        <v>0.168860709613743</v>
      </c>
      <c r="Y46">
        <f t="shared" si="1468"/>
        <v>0.42817455960370304</v>
      </c>
      <c r="Z46">
        <f t="shared" si="1456"/>
        <v>1.1062504015180801</v>
      </c>
      <c r="AA46">
        <f t="shared" si="1469"/>
        <v>-1.7400362783797101</v>
      </c>
      <c r="AB46">
        <f t="shared" si="1470"/>
        <v>2.5963853975871101</v>
      </c>
      <c r="AD46">
        <f t="shared" si="1474"/>
        <v>43</v>
      </c>
      <c r="AE46">
        <f t="shared" si="1471"/>
        <v>9.3102529930939504</v>
      </c>
    </row>
    <row r="47">
      <c r="A47">
        <f t="shared" si="1472"/>
        <v>44</v>
      </c>
      <c r="B47">
        <v>9.9532374569799149</v>
      </c>
      <c r="D47">
        <f t="shared" si="1473"/>
        <v>44</v>
      </c>
      <c r="E47">
        <f t="shared" si="1464"/>
        <v>-6.7103677618884014e-02</v>
      </c>
      <c r="F47">
        <f t="shared" si="1475"/>
        <v>0.36381580067857799</v>
      </c>
      <c r="V47">
        <f t="shared" si="1465"/>
        <v>44</v>
      </c>
      <c r="W47">
        <f t="shared" si="1466"/>
        <v>-6.7103677618884014e-02</v>
      </c>
      <c r="X47">
        <f t="shared" si="1467"/>
        <v>0.36381580067857799</v>
      </c>
      <c r="Y47">
        <f t="shared" si="1468"/>
        <v>-0.43091947829746202</v>
      </c>
      <c r="Z47">
        <f t="shared" si="1456"/>
        <v>1.1062504015180801</v>
      </c>
      <c r="AA47">
        <f t="shared" si="1469"/>
        <v>-2.5991303162808701</v>
      </c>
      <c r="AB47">
        <f t="shared" si="1470"/>
        <v>1.7372913596859501</v>
      </c>
      <c r="AD47">
        <f t="shared" si="1474"/>
        <v>44</v>
      </c>
      <c r="AE47">
        <f t="shared" si="1471"/>
        <v>9.9532374569799202</v>
      </c>
    </row>
    <row r="48">
      <c r="A48">
        <f t="shared" si="1472"/>
        <v>45</v>
      </c>
      <c r="B48">
        <v>9.9320829740295604</v>
      </c>
      <c r="D48">
        <f t="shared" si="1473"/>
        <v>45</v>
      </c>
      <c r="E48">
        <f t="shared" si="1464"/>
        <v>1.65706981079052</v>
      </c>
      <c r="F48">
        <f t="shared" si="1475"/>
        <v>1.7383304763237899</v>
      </c>
      <c r="V48">
        <f t="shared" si="1465"/>
        <v>45</v>
      </c>
      <c r="W48">
        <f t="shared" si="1466"/>
        <v>1.65706981079052</v>
      </c>
      <c r="X48">
        <f t="shared" si="1467"/>
        <v>1.7383304763237899</v>
      </c>
      <c r="Y48">
        <f t="shared" si="1468"/>
        <v>-8.1260665533269993e-02</v>
      </c>
      <c r="Z48">
        <f t="shared" si="1456"/>
        <v>1.1062504015180801</v>
      </c>
      <c r="AA48">
        <f t="shared" si="1469"/>
        <v>-2.2494715035166801</v>
      </c>
      <c r="AB48">
        <f t="shared" si="1470"/>
        <v>2.0869501724501398</v>
      </c>
      <c r="AD48">
        <f t="shared" si="1474"/>
        <v>45</v>
      </c>
      <c r="AE48">
        <f t="shared" si="1471"/>
        <v>9.9320829740295604</v>
      </c>
    </row>
    <row r="49">
      <c r="A49">
        <f t="shared" si="1472"/>
        <v>46</v>
      </c>
      <c r="B49">
        <v>11.635101979488615</v>
      </c>
      <c r="D49">
        <f t="shared" si="1473"/>
        <v>46</v>
      </c>
      <c r="E49">
        <f t="shared" si="1464"/>
        <v>-1.2528083517589199</v>
      </c>
      <c r="F49">
        <f t="shared" si="1475"/>
        <v>-6.92028077067e-03</v>
      </c>
      <c r="V49">
        <f t="shared" si="1465"/>
        <v>46</v>
      </c>
      <c r="W49">
        <f t="shared" si="1466"/>
        <v>-1.2528083517589199</v>
      </c>
      <c r="X49">
        <f t="shared" si="1467"/>
        <v>-6.92028077067e-03</v>
      </c>
      <c r="Y49">
        <f t="shared" si="1468"/>
        <v>-1.2458880709882501</v>
      </c>
      <c r="Z49">
        <f t="shared" si="1456"/>
        <v>1.1062504015180801</v>
      </c>
      <c r="AA49">
        <f t="shared" si="1469"/>
        <v>-3.4140989089716598</v>
      </c>
      <c r="AB49">
        <f t="shared" si="1470"/>
        <v>0.92232276699515992</v>
      </c>
      <c r="AD49">
        <f t="shared" si="1474"/>
        <v>46</v>
      </c>
      <c r="AE49">
        <f t="shared" si="1471"/>
        <v>11.635101979488599</v>
      </c>
    </row>
    <row r="50">
      <c r="A50">
        <f t="shared" si="1472"/>
        <v>47</v>
      </c>
      <c r="B50">
        <v>10.428242822398191</v>
      </c>
      <c r="D50">
        <f t="shared" si="1473"/>
        <v>47</v>
      </c>
      <c r="E50">
        <f t="shared" si="1464"/>
        <v>-0.77996133131696399</v>
      </c>
      <c r="F50">
        <f t="shared" si="1475"/>
        <v>-1.22322604957087</v>
      </c>
      <c r="V50">
        <f t="shared" si="1465"/>
        <v>47</v>
      </c>
      <c r="W50">
        <f t="shared" si="1466"/>
        <v>-0.77996133131696399</v>
      </c>
      <c r="X50">
        <f t="shared" si="1467"/>
        <v>-1.22322604957087</v>
      </c>
      <c r="Y50">
        <f t="shared" si="1468"/>
        <v>0.44326471825390606</v>
      </c>
      <c r="Z50">
        <f t="shared" si="1456"/>
        <v>1.1062504015180801</v>
      </c>
      <c r="AA50">
        <f t="shared" si="1469"/>
        <v>-1.7249461197295</v>
      </c>
      <c r="AB50">
        <f t="shared" si="1470"/>
        <v>2.6114755562373202</v>
      </c>
      <c r="AD50">
        <f t="shared" si="1474"/>
        <v>47</v>
      </c>
      <c r="AE50">
        <f t="shared" si="1471"/>
        <v>10.4282428223982</v>
      </c>
    </row>
    <row r="51">
      <c r="A51">
        <f t="shared" si="1472"/>
        <v>48</v>
      </c>
      <c r="B51">
        <v>9.6942306857497602</v>
      </c>
      <c r="D51">
        <f t="shared" si="1473"/>
        <v>48</v>
      </c>
      <c r="E51">
        <f t="shared" si="1464"/>
        <v>0.42885687195851502</v>
      </c>
      <c r="F51">
        <f t="shared" si="1475"/>
        <v>0.12682876137790999</v>
      </c>
      <c r="V51">
        <f t="shared" si="1465"/>
        <v>48</v>
      </c>
      <c r="W51">
        <f t="shared" si="1466"/>
        <v>0.42885687195851502</v>
      </c>
      <c r="X51">
        <f t="shared" si="1467"/>
        <v>0.12682876137790999</v>
      </c>
      <c r="Y51">
        <f t="shared" si="1468"/>
        <v>0.30202811058060502</v>
      </c>
      <c r="Z51">
        <f t="shared" si="1456"/>
        <v>1.1062504015180801</v>
      </c>
      <c r="AA51">
        <f t="shared" si="1469"/>
        <v>-1.86618272740281</v>
      </c>
      <c r="AB51">
        <f t="shared" si="1470"/>
        <v>2.4702389485640199</v>
      </c>
      <c r="AD51">
        <f t="shared" si="1474"/>
        <v>48</v>
      </c>
      <c r="AE51">
        <f t="shared" si="1471"/>
        <v>9.6942306857497602</v>
      </c>
    </row>
    <row r="52">
      <c r="A52">
        <f t="shared" si="1472"/>
        <v>49</v>
      </c>
      <c r="B52">
        <v>10.169036752376758</v>
      </c>
      <c r="D52">
        <f t="shared" si="1473"/>
        <v>49</v>
      </c>
      <c r="E52">
        <f t="shared" si="1464"/>
        <v>0.27166976554467698</v>
      </c>
      <c r="F52">
        <f t="shared" si="1475"/>
        <v>0.67485854903448705</v>
      </c>
      <c r="V52">
        <f t="shared" si="1465"/>
        <v>49</v>
      </c>
      <c r="W52">
        <f t="shared" si="1466"/>
        <v>0.27166976554467698</v>
      </c>
      <c r="X52">
        <f t="shared" si="1467"/>
        <v>0.67485854903448705</v>
      </c>
      <c r="Y52">
        <f t="shared" si="1468"/>
        <v>-0.40318878348981002</v>
      </c>
      <c r="Z52">
        <f t="shared" si="1456"/>
        <v>1.1062504015180801</v>
      </c>
      <c r="AA52">
        <f t="shared" si="1469"/>
        <v>-2.57139962147322</v>
      </c>
      <c r="AB52">
        <f t="shared" si="1470"/>
        <v>1.7650220544935999</v>
      </c>
      <c r="AD52">
        <f t="shared" si="1474"/>
        <v>49</v>
      </c>
      <c r="AE52">
        <f t="shared" si="1471"/>
        <v>10.169036752376799</v>
      </c>
    </row>
    <row r="53">
      <c r="A53">
        <f t="shared" si="1472"/>
        <v>50</v>
      </c>
      <c r="B53">
        <v>10.486655712590014</v>
      </c>
      <c r="D53">
        <f t="shared" si="1473"/>
        <v>50</v>
      </c>
      <c r="E53">
        <f t="shared" si="1464"/>
        <v>0.123544732794275</v>
      </c>
      <c r="F53">
        <f t="shared" si="1475"/>
        <v>0.49837231560405398</v>
      </c>
      <c r="V53">
        <f t="shared" si="1465"/>
        <v>50</v>
      </c>
      <c r="W53">
        <f t="shared" si="1466"/>
        <v>0.123544732794275</v>
      </c>
      <c r="X53">
        <f t="shared" si="1467"/>
        <v>0.49837231560405398</v>
      </c>
      <c r="Y53">
        <f t="shared" si="1468"/>
        <v>-0.37482758280977901</v>
      </c>
      <c r="Z53">
        <f t="shared" si="1456"/>
        <v>1.1062504015180801</v>
      </c>
      <c r="AA53">
        <f t="shared" si="1469"/>
        <v>-2.5430384207931902</v>
      </c>
      <c r="AB53">
        <f t="shared" si="1470"/>
        <v>1.79338325517363</v>
      </c>
      <c r="AD53">
        <f t="shared" si="1474"/>
        <v>50</v>
      </c>
      <c r="AE53">
        <f t="shared" si="1471"/>
        <v>10.48665571259</v>
      </c>
    </row>
    <row r="54">
      <c r="A54">
        <f t="shared" si="1472"/>
        <v>51</v>
      </c>
      <c r="B54">
        <v>10.656149640052815</v>
      </c>
      <c r="D54">
        <f t="shared" si="1473"/>
        <v>51</v>
      </c>
      <c r="E54">
        <f t="shared" si="1464"/>
        <v>-0.57278126810532304</v>
      </c>
      <c r="F54">
        <f t="shared" si="1475"/>
        <v>-0.24079808268173203</v>
      </c>
      <c r="V54">
        <f t="shared" si="1465"/>
        <v>51</v>
      </c>
      <c r="W54">
        <f t="shared" si="1466"/>
        <v>-0.57278126810532304</v>
      </c>
      <c r="X54">
        <f t="shared" si="1467"/>
        <v>-0.24079808268173203</v>
      </c>
      <c r="Y54">
        <f t="shared" si="1468"/>
        <v>-0.33198318542359101</v>
      </c>
      <c r="Z54">
        <f t="shared" si="1456"/>
        <v>1.1062504015180801</v>
      </c>
      <c r="AA54">
        <f t="shared" si="1469"/>
        <v>-2.5001940234069999</v>
      </c>
      <c r="AB54">
        <f t="shared" si="1470"/>
        <v>1.83622765255982</v>
      </c>
      <c r="AD54">
        <f t="shared" si="1474"/>
        <v>51</v>
      </c>
      <c r="AE54">
        <f t="shared" si="1471"/>
        <v>10.656149640052799</v>
      </c>
    </row>
    <row r="55">
      <c r="A55">
        <f t="shared" si="1472"/>
        <v>52</v>
      </c>
      <c r="B55">
        <v>10.129317566616013</v>
      </c>
      <c r="D55">
        <f t="shared" si="1473"/>
        <v>52</v>
      </c>
      <c r="E55">
        <f t="shared" si="1464"/>
        <v>-1.2089610088663101</v>
      </c>
      <c r="F55">
        <f t="shared" si="1475"/>
        <v>-1.31143554514214</v>
      </c>
      <c r="V55">
        <f t="shared" si="1465"/>
        <v>52</v>
      </c>
      <c r="W55">
        <f t="shared" si="1466"/>
        <v>-1.2089610088663101</v>
      </c>
      <c r="X55">
        <f t="shared" si="1467"/>
        <v>-1.31143554514214</v>
      </c>
      <c r="Y55">
        <f t="shared" si="1468"/>
        <v>0.10247453627583</v>
      </c>
      <c r="Z55">
        <f t="shared" si="1456"/>
        <v>1.1062504015180801</v>
      </c>
      <c r="AA55">
        <f t="shared" si="1469"/>
        <v>-2.06573630170758</v>
      </c>
      <c r="AB55">
        <f t="shared" si="1470"/>
        <v>2.2706853742592399</v>
      </c>
      <c r="AD55">
        <f t="shared" si="1474"/>
        <v>52</v>
      </c>
      <c r="AE55">
        <f t="shared" si="1471"/>
        <v>10.129317566616001</v>
      </c>
    </row>
    <row r="56">
      <c r="A56">
        <f t="shared" si="1472"/>
        <v>53</v>
      </c>
      <c r="B56">
        <v>8.9663057524182062</v>
      </c>
      <c r="D56">
        <f t="shared" si="1473"/>
        <v>53</v>
      </c>
      <c r="E56">
        <f t="shared" si="1464"/>
        <v>-0.90550350809425295</v>
      </c>
      <c r="F56">
        <f t="shared" si="1475"/>
        <v>-1.51371319778501</v>
      </c>
      <c r="V56">
        <f t="shared" si="1465"/>
        <v>53</v>
      </c>
      <c r="W56">
        <f t="shared" si="1466"/>
        <v>-0.90550350809425295</v>
      </c>
      <c r="X56">
        <f t="shared" si="1467"/>
        <v>-1.51371319778501</v>
      </c>
      <c r="Y56">
        <f t="shared" si="1468"/>
        <v>0.60820968969075695</v>
      </c>
      <c r="Z56">
        <f t="shared" si="1456"/>
        <v>1.1062504015180801</v>
      </c>
      <c r="AA56">
        <f t="shared" si="1469"/>
        <v>-1.5600011482926499</v>
      </c>
      <c r="AB56">
        <f t="shared" si="1470"/>
        <v>2.77642052767417</v>
      </c>
      <c r="AD56">
        <f t="shared" si="1474"/>
        <v>53</v>
      </c>
      <c r="AE56">
        <f t="shared" si="1471"/>
        <v>8.9663057524182097</v>
      </c>
    </row>
    <row r="57">
      <c r="A57">
        <f t="shared" si="1472"/>
        <v>54</v>
      </c>
      <c r="B57">
        <v>8.1067514389924806</v>
      </c>
      <c r="D57">
        <f t="shared" si="1473"/>
        <v>54</v>
      </c>
      <c r="E57">
        <f t="shared" si="1464"/>
        <v>0.52119812419049605</v>
      </c>
      <c r="F57">
        <f t="shared" si="1475"/>
        <v>-6.6255467061359999e-02</v>
      </c>
      <c r="V57">
        <f t="shared" si="1465"/>
        <v>54</v>
      </c>
      <c r="W57">
        <f t="shared" si="1466"/>
        <v>0.52119812419049605</v>
      </c>
      <c r="X57">
        <f t="shared" si="1467"/>
        <v>-6.6255467061359999e-02</v>
      </c>
      <c r="Y57">
        <f t="shared" si="1468"/>
        <v>0.58745359125185603</v>
      </c>
      <c r="Z57">
        <f t="shared" si="1456"/>
        <v>1.1062504015180801</v>
      </c>
      <c r="AA57">
        <f t="shared" si="1469"/>
        <v>-1.58075724673155</v>
      </c>
      <c r="AB57">
        <f t="shared" si="1470"/>
        <v>2.7556644292352699</v>
      </c>
      <c r="AD57">
        <f t="shared" si="1474"/>
        <v>54</v>
      </c>
      <c r="AE57">
        <f t="shared" si="1471"/>
        <v>8.1067514389924806</v>
      </c>
    </row>
    <row r="58">
      <c r="A58">
        <f t="shared" si="1472"/>
        <v>55</v>
      </c>
      <c r="B58">
        <v>8.6738987578515001</v>
      </c>
      <c r="D58">
        <f t="shared" si="1473"/>
        <v>55</v>
      </c>
      <c r="E58">
        <f t="shared" si="1464"/>
        <v>2.0014171239245999e-02</v>
      </c>
      <c r="F58">
        <f t="shared" si="1475"/>
        <v>0.25122893718149097</v>
      </c>
      <c r="V58">
        <f t="shared" si="1465"/>
        <v>55</v>
      </c>
      <c r="W58">
        <f t="shared" si="1466"/>
        <v>2.0014171239245999e-02</v>
      </c>
      <c r="X58">
        <f t="shared" si="1467"/>
        <v>0.25122893718149097</v>
      </c>
      <c r="Y58">
        <f t="shared" si="1468"/>
        <v>-0.23121476594224499</v>
      </c>
      <c r="Z58">
        <f t="shared" si="1456"/>
        <v>1.1062504015180801</v>
      </c>
      <c r="AA58">
        <f t="shared" si="1469"/>
        <v>-2.3994256039256601</v>
      </c>
      <c r="AB58">
        <f t="shared" si="1470"/>
        <v>1.9369960720411701</v>
      </c>
      <c r="AD58">
        <f t="shared" si="1474"/>
        <v>55</v>
      </c>
      <c r="AE58">
        <f t="shared" si="1471"/>
        <v>8.6738987578515001</v>
      </c>
    </row>
    <row r="59">
      <c r="A59">
        <f t="shared" si="1472"/>
        <v>56</v>
      </c>
      <c r="B59">
        <v>8.7398621237592646</v>
      </c>
      <c r="D59">
        <f t="shared" si="1473"/>
        <v>56</v>
      </c>
      <c r="E59">
        <f t="shared" si="1464"/>
        <v>-2.1835220899734002e-02</v>
      </c>
      <c r="F59">
        <f t="shared" si="1475"/>
        <v>-5.2357721525676998e-02</v>
      </c>
      <c r="V59">
        <f t="shared" si="1465"/>
        <v>56</v>
      </c>
      <c r="W59">
        <f t="shared" si="1466"/>
        <v>-2.1835220899734002e-02</v>
      </c>
      <c r="X59">
        <f t="shared" si="1467"/>
        <v>-5.2357721525676998e-02</v>
      </c>
      <c r="Y59">
        <f t="shared" si="1468"/>
        <v>3.0522500625943e-02</v>
      </c>
      <c r="Z59">
        <f t="shared" si="1456"/>
        <v>1.1062504015180801</v>
      </c>
      <c r="AA59">
        <f t="shared" si="1469"/>
        <v>-2.1376883373574702</v>
      </c>
      <c r="AB59">
        <f t="shared" si="1470"/>
        <v>2.1987333386093502</v>
      </c>
      <c r="AD59">
        <f t="shared" si="1474"/>
        <v>56</v>
      </c>
      <c r="AE59">
        <f t="shared" si="1471"/>
        <v>8.73986212375927</v>
      </c>
    </row>
    <row r="60">
      <c r="A60">
        <f t="shared" si="1472"/>
        <v>57</v>
      </c>
      <c r="B60">
        <v>8.7639760975280581</v>
      </c>
      <c r="D60">
        <f t="shared" si="1473"/>
        <v>57</v>
      </c>
      <c r="E60">
        <f t="shared" si="1464"/>
        <v>1.79770697805432</v>
      </c>
      <c r="F60">
        <f t="shared" si="1475"/>
        <v>1.7391962678669799</v>
      </c>
      <c r="V60">
        <f t="shared" si="1465"/>
        <v>57</v>
      </c>
      <c r="W60">
        <f t="shared" si="1466"/>
        <v>1.79770697805432</v>
      </c>
      <c r="X60">
        <f t="shared" si="1467"/>
        <v>1.7391962678669799</v>
      </c>
      <c r="Y60">
        <f t="shared" si="1468"/>
        <v>5.8510710187340005e-02</v>
      </c>
      <c r="Z60">
        <f t="shared" si="1456"/>
        <v>1.1062504015180801</v>
      </c>
      <c r="AA60">
        <f t="shared" si="1469"/>
        <v>-2.1097001277960699</v>
      </c>
      <c r="AB60">
        <f t="shared" si="1470"/>
        <v>2.2267215481707501</v>
      </c>
      <c r="AD60">
        <f t="shared" si="1474"/>
        <v>57</v>
      </c>
      <c r="AE60">
        <f t="shared" si="1471"/>
        <v>8.7639760975280598</v>
      </c>
    </row>
    <row r="61">
      <c r="A61">
        <f t="shared" si="1472"/>
        <v>58</v>
      </c>
      <c r="B61">
        <v>10.607632270250908</v>
      </c>
      <c r="D61">
        <f t="shared" si="1473"/>
        <v>58</v>
      </c>
      <c r="E61">
        <f t="shared" si="1464"/>
        <v>-1.80729709880763</v>
      </c>
      <c r="F61">
        <f t="shared" si="1475"/>
        <v>-0.64057896204229003</v>
      </c>
      <c r="V61">
        <f t="shared" si="1465"/>
        <v>58</v>
      </c>
      <c r="W61">
        <f t="shared" si="1466"/>
        <v>-1.80729709880763</v>
      </c>
      <c r="X61">
        <f t="shared" si="1467"/>
        <v>-0.64057896204229003</v>
      </c>
      <c r="Y61">
        <f t="shared" si="1468"/>
        <v>-1.1667181367653401</v>
      </c>
      <c r="Z61">
        <f t="shared" si="1456"/>
        <v>1.1062504015180801</v>
      </c>
      <c r="AA61">
        <f t="shared" si="1469"/>
        <v>-3.3349289747487498</v>
      </c>
      <c r="AB61">
        <f t="shared" si="1470"/>
        <v>1.0014927012180701</v>
      </c>
      <c r="AD61">
        <f t="shared" si="1474"/>
        <v>58</v>
      </c>
      <c r="AE61">
        <f t="shared" si="1471"/>
        <v>10.6076322702509</v>
      </c>
    </row>
    <row r="62">
      <c r="A62">
        <f t="shared" si="1472"/>
        <v>59</v>
      </c>
      <c r="B62">
        <v>8.8462843661117905</v>
      </c>
      <c r="D62">
        <f t="shared" si="1473"/>
        <v>59</v>
      </c>
      <c r="E62">
        <f t="shared" si="1464"/>
        <v>-0.69480308870149499</v>
      </c>
      <c r="F62">
        <f t="shared" si="1475"/>
        <v>-1.6763514332643299</v>
      </c>
      <c r="V62">
        <f t="shared" si="1465"/>
        <v>59</v>
      </c>
      <c r="W62">
        <f t="shared" si="1466"/>
        <v>-0.69480308870149499</v>
      </c>
      <c r="X62">
        <f t="shared" si="1467"/>
        <v>-1.6763514332643299</v>
      </c>
      <c r="Y62">
        <f t="shared" si="1468"/>
        <v>0.98154834456283502</v>
      </c>
      <c r="Z62">
        <f t="shared" si="1456"/>
        <v>1.1062504015180801</v>
      </c>
      <c r="AA62">
        <f t="shared" si="1469"/>
        <v>-1.1866624934205801</v>
      </c>
      <c r="AB62">
        <f t="shared" si="1470"/>
        <v>3.1497591825462501</v>
      </c>
      <c r="AD62">
        <f t="shared" si="1474"/>
        <v>59</v>
      </c>
      <c r="AE62">
        <f t="shared" si="1471"/>
        <v>8.8462843661117905</v>
      </c>
    </row>
    <row r="63">
      <c r="A63">
        <f t="shared" si="1472"/>
        <v>60</v>
      </c>
      <c r="B63">
        <v>8.197430472078814</v>
      </c>
      <c r="D63">
        <f t="shared" si="1473"/>
        <v>60</v>
      </c>
      <c r="E63">
        <f t="shared" si="1464"/>
        <v>1.4570881440460599</v>
      </c>
      <c r="F63">
        <f t="shared" si="1475"/>
        <v>0.94774039872160998</v>
      </c>
      <c r="V63">
        <f t="shared" si="1465"/>
        <v>60</v>
      </c>
      <c r="W63">
        <f t="shared" si="1466"/>
        <v>1.4570881440460599</v>
      </c>
      <c r="X63">
        <f t="shared" si="1467"/>
        <v>0.94774039872160998</v>
      </c>
      <c r="Y63">
        <f t="shared" si="1468"/>
        <v>0.50934774532445004</v>
      </c>
      <c r="Z63">
        <f t="shared" si="1456"/>
        <v>1.1062504015180801</v>
      </c>
      <c r="AA63">
        <f t="shared" si="1469"/>
        <v>-1.65886309265896</v>
      </c>
      <c r="AB63">
        <f t="shared" si="1470"/>
        <v>2.6775585833078601</v>
      </c>
      <c r="AD63">
        <f t="shared" si="1474"/>
        <v>60</v>
      </c>
      <c r="AE63">
        <f t="shared" si="1471"/>
        <v>8.1974304720788194</v>
      </c>
    </row>
    <row r="64">
      <c r="A64">
        <f t="shared" si="1472"/>
        <v>61</v>
      </c>
      <c r="B64">
        <v>9.7004678107933984</v>
      </c>
      <c r="D64">
        <f t="shared" si="1473"/>
        <v>61</v>
      </c>
      <c r="E64">
        <f t="shared" si="1464"/>
        <v>-0.24760854243568403</v>
      </c>
      <c r="F64">
        <f t="shared" si="1475"/>
        <v>0.58294964424723195</v>
      </c>
      <c r="V64">
        <f t="shared" si="1465"/>
        <v>61</v>
      </c>
      <c r="W64">
        <f t="shared" si="1466"/>
        <v>-0.24760854243568403</v>
      </c>
      <c r="X64">
        <f t="shared" si="1467"/>
        <v>0.58294964424723195</v>
      </c>
      <c r="Y64">
        <f t="shared" si="1468"/>
        <v>-0.83055818668291592</v>
      </c>
      <c r="Z64">
        <f t="shared" si="1456"/>
        <v>1.1062504015180801</v>
      </c>
      <c r="AA64">
        <f t="shared" si="1469"/>
        <v>-2.9987690246663301</v>
      </c>
      <c r="AB64">
        <f t="shared" si="1470"/>
        <v>1.33765265130049</v>
      </c>
      <c r="AD64">
        <f t="shared" si="1474"/>
        <v>61</v>
      </c>
      <c r="AE64">
        <f t="shared" si="1471"/>
        <v>9.7004678107934001</v>
      </c>
    </row>
    <row r="65">
      <c r="A65">
        <f t="shared" si="1472"/>
        <v>62</v>
      </c>
      <c r="B65">
        <v>9.4988084630262417</v>
      </c>
      <c r="D65">
        <f t="shared" si="1473"/>
        <v>62</v>
      </c>
      <c r="E65">
        <f t="shared" si="1464"/>
        <v>0.15562812124382699</v>
      </c>
      <c r="F65">
        <f t="shared" si="1475"/>
        <v>6.1283263541285e-02</v>
      </c>
      <c r="V65">
        <f t="shared" si="1465"/>
        <v>62</v>
      </c>
      <c r="W65">
        <f t="shared" si="1466"/>
        <v>0.15562812124382699</v>
      </c>
      <c r="X65">
        <f t="shared" si="1467"/>
        <v>6.1283263541285e-02</v>
      </c>
      <c r="Y65">
        <f t="shared" si="1468"/>
        <v>9.4344857702541987e-02</v>
      </c>
      <c r="Z65">
        <f t="shared" si="1456"/>
        <v>1.1062504015180801</v>
      </c>
      <c r="AA65">
        <f t="shared" si="1469"/>
        <v>-2.0738659802808699</v>
      </c>
      <c r="AB65">
        <f t="shared" si="1470"/>
        <v>2.2625556956859501</v>
      </c>
      <c r="AD65">
        <f t="shared" si="1474"/>
        <v>62</v>
      </c>
      <c r="AE65">
        <f t="shared" si="1471"/>
        <v>9.4988084630262399</v>
      </c>
    </row>
    <row r="66">
      <c r="A66">
        <f t="shared" si="1472"/>
        <v>63</v>
      </c>
      <c r="B66">
        <v>9.7003857789385926</v>
      </c>
      <c r="D66">
        <f t="shared" si="1473"/>
        <v>63</v>
      </c>
      <c r="E66">
        <f t="shared" si="1464"/>
        <v>7.3293020331316003e-02</v>
      </c>
      <c r="F66">
        <f t="shared" si="1475"/>
        <v>0.21611947152611996</v>
      </c>
      <c r="V66">
        <f t="shared" si="1465"/>
        <v>63</v>
      </c>
      <c r="W66">
        <f t="shared" si="1466"/>
        <v>7.3293020331316003e-02</v>
      </c>
      <c r="X66">
        <f t="shared" si="1467"/>
        <v>0.21611947152611996</v>
      </c>
      <c r="Y66">
        <f t="shared" si="1468"/>
        <v>-0.142826451194804</v>
      </c>
      <c r="Z66">
        <f t="shared" si="1456"/>
        <v>1.1062504015180801</v>
      </c>
      <c r="AA66">
        <f t="shared" si="1469"/>
        <v>-2.3110372891782101</v>
      </c>
      <c r="AB66">
        <f t="shared" si="1470"/>
        <v>2.0253843867886099</v>
      </c>
      <c r="AD66">
        <f t="shared" si="1474"/>
        <v>63</v>
      </c>
      <c r="AE66">
        <f t="shared" si="1471"/>
        <v>9.7003857789385908</v>
      </c>
    </row>
    <row r="67">
      <c r="A67">
        <f t="shared" si="1472"/>
        <v>64</v>
      </c>
      <c r="B67">
        <v>9.8196279939384326</v>
      </c>
      <c r="D67">
        <f t="shared" si="1473"/>
        <v>64</v>
      </c>
      <c r="E67">
        <f t="shared" si="1464"/>
        <v>2.49146839662775</v>
      </c>
      <c r="F67">
        <f t="shared" si="1475"/>
        <v>2.60664716137694</v>
      </c>
      <c r="V67">
        <f t="shared" si="1465"/>
        <v>64</v>
      </c>
      <c r="W67">
        <f t="shared" si="1466"/>
        <v>2.49146839662775</v>
      </c>
      <c r="X67">
        <f t="shared" si="1467"/>
        <v>2.60664716137694</v>
      </c>
      <c r="Y67">
        <f t="shared" si="1468"/>
        <v>-0.11517876474919</v>
      </c>
      <c r="Z67">
        <f t="shared" si="1456"/>
        <v>1.1062504015180801</v>
      </c>
      <c r="AA67">
        <f t="shared" si="1469"/>
        <v>-2.2833896027325999</v>
      </c>
      <c r="AB67">
        <f t="shared" si="1470"/>
        <v>2.05303207323422</v>
      </c>
      <c r="AD67">
        <f t="shared" si="1474"/>
        <v>64</v>
      </c>
      <c r="AE67">
        <f t="shared" si="1471"/>
        <v>9.8196279939384308</v>
      </c>
    </row>
    <row r="68">
      <c r="A68">
        <f t="shared" si="1472"/>
        <v>65</v>
      </c>
      <c r="B68">
        <v>12.357045585234705</v>
      </c>
      <c r="D68">
        <f t="shared" si="1473"/>
        <v>65</v>
      </c>
      <c r="E68">
        <f t="shared" si="1464"/>
        <v>-1.4793903658022201</v>
      </c>
      <c r="F68">
        <f t="shared" si="1475"/>
        <v>0.28921186113929997</v>
      </c>
      <c r="V68">
        <f t="shared" si="1465"/>
        <v>65</v>
      </c>
      <c r="W68">
        <f t="shared" si="1466"/>
        <v>-1.4793903658022201</v>
      </c>
      <c r="X68">
        <f t="shared" si="1467"/>
        <v>0.28921186113929997</v>
      </c>
      <c r="Y68">
        <f t="shared" si="1468"/>
        <v>-1.76860222694152</v>
      </c>
      <c r="Z68">
        <f t="shared" ref="Z68:Z107" si="1477">J$15</f>
        <v>1.1062504015180801</v>
      </c>
      <c r="AA68">
        <f t="shared" si="1469"/>
        <v>-3.9368130649249302</v>
      </c>
      <c r="AB68">
        <f t="shared" si="1470"/>
        <v>0.39960861104188999</v>
      </c>
      <c r="AD68">
        <f t="shared" si="1474"/>
        <v>65</v>
      </c>
      <c r="AE68">
        <f t="shared" si="1471"/>
        <v>12.357045585234699</v>
      </c>
    </row>
    <row r="69">
      <c r="A69">
        <f t="shared" si="1472"/>
        <v>66</v>
      </c>
      <c r="B69">
        <v>10.923604414101041</v>
      </c>
      <c r="D69">
        <f t="shared" si="1473"/>
        <v>66</v>
      </c>
      <c r="E69">
        <f t="shared" si="1464"/>
        <v>-1.26878776216294</v>
      </c>
      <c r="F69">
        <f t="shared" si="1475"/>
        <v>-1.77323010179259</v>
      </c>
      <c r="V69">
        <f t="shared" si="1465"/>
        <v>66</v>
      </c>
      <c r="W69">
        <f t="shared" si="1466"/>
        <v>-1.26878776216294</v>
      </c>
      <c r="X69">
        <f t="shared" si="1467"/>
        <v>-1.77323010179259</v>
      </c>
      <c r="Y69">
        <f t="shared" si="1468"/>
        <v>0.50444233962965002</v>
      </c>
      <c r="Z69">
        <f t="shared" si="1477"/>
        <v>1.1062504015180801</v>
      </c>
      <c r="AA69">
        <f t="shared" si="1469"/>
        <v>-1.66376849835376</v>
      </c>
      <c r="AB69">
        <f t="shared" si="1470"/>
        <v>2.6726531776130602</v>
      </c>
      <c r="AD69">
        <f t="shared" si="1474"/>
        <v>66</v>
      </c>
      <c r="AE69">
        <f t="shared" si="1471"/>
        <v>10.923604414101</v>
      </c>
    </row>
    <row r="70">
      <c r="A70">
        <f t="shared" si="1472"/>
        <v>67</v>
      </c>
      <c r="B70">
        <v>9.7007658466065791</v>
      </c>
      <c r="D70">
        <f t="shared" si="1473"/>
        <v>67</v>
      </c>
      <c r="E70">
        <f t="shared" si="1464"/>
        <v>0.52744602343899705</v>
      </c>
      <c r="F70">
        <f t="shared" si="1475"/>
        <v>-4.4364481877139997e-02</v>
      </c>
      <c r="V70">
        <f t="shared" si="1465"/>
        <v>67</v>
      </c>
      <c r="W70">
        <f t="shared" si="1466"/>
        <v>0.52744602343899705</v>
      </c>
      <c r="X70">
        <f t="shared" si="1467"/>
        <v>-4.4364481877139997e-02</v>
      </c>
      <c r="Y70">
        <f t="shared" si="1468"/>
        <v>0.57181050531613697</v>
      </c>
      <c r="Z70">
        <f t="shared" si="1477"/>
        <v>1.1062504015180801</v>
      </c>
      <c r="AA70">
        <f t="shared" si="1469"/>
        <v>-1.59640033266727</v>
      </c>
      <c r="AB70">
        <f t="shared" si="1470"/>
        <v>2.7400213432995502</v>
      </c>
      <c r="AD70">
        <f t="shared" si="1474"/>
        <v>67</v>
      </c>
      <c r="AE70">
        <f t="shared" si="1471"/>
        <v>9.7007658466065791</v>
      </c>
    </row>
    <row r="71">
      <c r="A71">
        <f t="shared" si="1472"/>
        <v>68</v>
      </c>
      <c r="B71">
        <v>10.274161064714082</v>
      </c>
      <c r="D71">
        <f t="shared" si="1473"/>
        <v>68</v>
      </c>
      <c r="E71">
        <f t="shared" si="1464"/>
        <v>-0.56402938582662399</v>
      </c>
      <c r="F71">
        <f t="shared" si="1475"/>
        <v>-0.10923561661788299</v>
      </c>
      <c r="V71">
        <f t="shared" si="1465"/>
        <v>68</v>
      </c>
      <c r="W71">
        <f t="shared" si="1466"/>
        <v>-0.56402938582662399</v>
      </c>
      <c r="X71">
        <f t="shared" si="1467"/>
        <v>-0.10923561661788299</v>
      </c>
      <c r="Y71">
        <f t="shared" si="1468"/>
        <v>-0.45479376920874098</v>
      </c>
      <c r="Z71">
        <f t="shared" si="1477"/>
        <v>1.1062504015180801</v>
      </c>
      <c r="AA71">
        <f t="shared" si="1469"/>
        <v>-2.6230046071921498</v>
      </c>
      <c r="AB71">
        <f t="shared" si="1470"/>
        <v>1.7134170687746699</v>
      </c>
      <c r="AD71">
        <f t="shared" si="1474"/>
        <v>68</v>
      </c>
      <c r="AE71">
        <f t="shared" si="1471"/>
        <v>10.2741610647141</v>
      </c>
    </row>
    <row r="72">
      <c r="A72">
        <f t="shared" si="1472"/>
        <v>69</v>
      </c>
      <c r="B72">
        <v>9.7560808735559998</v>
      </c>
      <c r="D72">
        <f t="shared" si="1473"/>
        <v>69</v>
      </c>
      <c r="E72">
        <f t="shared" si="1464"/>
        <v>-0.51429822617294396</v>
      </c>
      <c r="F72">
        <f t="shared" si="1475"/>
        <v>-0.70514053519870801</v>
      </c>
      <c r="V72">
        <f t="shared" si="1465"/>
        <v>69</v>
      </c>
      <c r="W72">
        <f t="shared" si="1466"/>
        <v>-0.51429822617294396</v>
      </c>
      <c r="X72">
        <f t="shared" si="1467"/>
        <v>-0.70514053519870801</v>
      </c>
      <c r="Y72">
        <f t="shared" si="1468"/>
        <v>0.19084230902576402</v>
      </c>
      <c r="Z72">
        <f t="shared" si="1477"/>
        <v>1.1062504015180801</v>
      </c>
      <c r="AA72">
        <f t="shared" si="1469"/>
        <v>-1.9773685289576499</v>
      </c>
      <c r="AB72">
        <f t="shared" si="1470"/>
        <v>2.35905314700917</v>
      </c>
      <c r="AD72">
        <f t="shared" si="1474"/>
        <v>69</v>
      </c>
      <c r="AE72">
        <f t="shared" si="1471"/>
        <v>9.7560808735559998</v>
      </c>
    </row>
    <row r="73">
      <c r="A73">
        <f t="shared" si="1472"/>
        <v>70</v>
      </c>
      <c r="B73">
        <v>9.2877318420515778</v>
      </c>
      <c r="D73">
        <f t="shared" si="1473"/>
        <v>70</v>
      </c>
      <c r="E73">
        <f t="shared" si="1464"/>
        <v>-0.53887333981432395</v>
      </c>
      <c r="F73">
        <f t="shared" si="1475"/>
        <v>-0.77599080731359005</v>
      </c>
      <c r="V73">
        <f t="shared" si="1465"/>
        <v>70</v>
      </c>
      <c r="W73">
        <f t="shared" si="1466"/>
        <v>-0.53887333981432395</v>
      </c>
      <c r="X73">
        <f t="shared" si="1467"/>
        <v>-0.77599080731359005</v>
      </c>
      <c r="Y73">
        <f t="shared" si="1468"/>
        <v>0.23711746749926599</v>
      </c>
      <c r="Z73">
        <f t="shared" si="1477"/>
        <v>1.1062504015180801</v>
      </c>
      <c r="AA73">
        <f t="shared" si="1469"/>
        <v>-1.93109337048414</v>
      </c>
      <c r="AB73">
        <f t="shared" si="1470"/>
        <v>2.40532830548268</v>
      </c>
      <c r="AD73">
        <f t="shared" si="1474"/>
        <v>70</v>
      </c>
      <c r="AE73">
        <f t="shared" si="1471"/>
        <v>9.2877318420515795</v>
      </c>
    </row>
    <row r="74">
      <c r="A74">
        <f t="shared" si="1472"/>
        <v>71</v>
      </c>
      <c r="B74">
        <v>8.7948076969057745</v>
      </c>
      <c r="D74">
        <f t="shared" si="1473"/>
        <v>71</v>
      </c>
      <c r="E74">
        <f t="shared" ref="E74:E98" si="1478">B75-B74-J$6</f>
        <v>1.1114090536833501</v>
      </c>
      <c r="F74">
        <f t="shared" si="1475"/>
        <v>0.780541898012303</v>
      </c>
      <c r="V74">
        <f t="shared" ref="V74:V99" si="1479">D74</f>
        <v>71</v>
      </c>
      <c r="W74">
        <f t="shared" ref="W74:W99" si="1480">E74</f>
        <v>1.1114090536833501</v>
      </c>
      <c r="X74">
        <f t="shared" ref="X74:X99" si="1481">F74</f>
        <v>0.780541898012303</v>
      </c>
      <c r="Y74">
        <f t="shared" ref="Y74:Y99" si="1482">W74-X74</f>
        <v>0.33086715567104702</v>
      </c>
      <c r="Z74">
        <f t="shared" si="1477"/>
        <v>1.1062504015180801</v>
      </c>
      <c r="AA74">
        <f t="shared" ref="AA74:AA99" si="1483">Y74-NORMSINV(1-Z$2/2)*Z74</f>
        <v>-1.8373436823123599</v>
      </c>
      <c r="AB74">
        <f t="shared" ref="AB74:AB99" si="1484">Y74+NORMSINV(1-Z$2/2)*Z74</f>
        <v>2.4990779936544598</v>
      </c>
      <c r="AD74">
        <f t="shared" si="1474"/>
        <v>71</v>
      </c>
      <c r="AE74">
        <f t="shared" ref="AE74:AE99" si="1485">B74</f>
        <v>8.7948076969057798</v>
      </c>
    </row>
    <row r="75">
      <c r="A75">
        <f t="shared" ref="A75:A100" si="1486">A74+1</f>
        <v>72</v>
      </c>
      <c r="B75">
        <v>9.9521659452576507</v>
      </c>
      <c r="D75">
        <f t="shared" ref="D75:D100" si="1487">D74+1</f>
        <v>72</v>
      </c>
      <c r="E75">
        <f t="shared" si="1478"/>
        <v>-0.85159734664262499</v>
      </c>
      <c r="F75">
        <f t="shared" si="1475"/>
        <v>-0.151613611661784</v>
      </c>
      <c r="V75">
        <f t="shared" si="1479"/>
        <v>72</v>
      </c>
      <c r="W75">
        <f t="shared" si="1480"/>
        <v>-0.85159734664262499</v>
      </c>
      <c r="X75">
        <f t="shared" si="1481"/>
        <v>-0.151613611661784</v>
      </c>
      <c r="Y75">
        <f t="shared" si="1482"/>
        <v>-0.69998373498084099</v>
      </c>
      <c r="Z75">
        <f t="shared" si="1477"/>
        <v>1.1062504015180801</v>
      </c>
      <c r="AA75">
        <f t="shared" si="1483"/>
        <v>-2.8681945729642502</v>
      </c>
      <c r="AB75">
        <f t="shared" si="1484"/>
        <v>1.46822710300257</v>
      </c>
      <c r="AD75">
        <f t="shared" ref="AD75:AD100" si="1488">AD74+1</f>
        <v>72</v>
      </c>
      <c r="AE75">
        <f t="shared" si="1485"/>
        <v>9.9521659452576507</v>
      </c>
    </row>
    <row r="76">
      <c r="A76">
        <f t="shared" si="1486"/>
        <v>73</v>
      </c>
      <c r="B76">
        <v>9.1465177932835449</v>
      </c>
      <c r="D76">
        <f t="shared" si="1487"/>
        <v>73</v>
      </c>
      <c r="E76">
        <f t="shared" si="1478"/>
        <v>-0.78039416514259496</v>
      </c>
      <c r="F76">
        <f t="shared" ref="F76:F99" si="1489">E76-SUMPRODUCT(E74:E75,I$4:I$5)-SUMPRODUCT(F75,J$5)</f>
        <v>-1.2300810814662499</v>
      </c>
      <c r="V76">
        <f t="shared" si="1479"/>
        <v>73</v>
      </c>
      <c r="W76">
        <f t="shared" si="1480"/>
        <v>-0.78039416514259496</v>
      </c>
      <c r="X76">
        <f t="shared" si="1481"/>
        <v>-1.2300810814662499</v>
      </c>
      <c r="Y76">
        <f t="shared" si="1482"/>
        <v>0.44968691632365498</v>
      </c>
      <c r="Z76">
        <f t="shared" si="1477"/>
        <v>1.1062504015180801</v>
      </c>
      <c r="AA76">
        <f t="shared" si="1483"/>
        <v>-1.7185239216597601</v>
      </c>
      <c r="AB76">
        <f t="shared" si="1484"/>
        <v>2.6178977543070698</v>
      </c>
      <c r="AD76">
        <f t="shared" si="1488"/>
        <v>73</v>
      </c>
      <c r="AE76">
        <f t="shared" si="1485"/>
        <v>9.1465177932835502</v>
      </c>
    </row>
    <row r="77">
      <c r="A77">
        <f t="shared" si="1486"/>
        <v>74</v>
      </c>
      <c r="B77">
        <v>8.4120728228094741</v>
      </c>
      <c r="D77">
        <f t="shared" si="1487"/>
        <v>74</v>
      </c>
      <c r="E77">
        <f t="shared" si="1478"/>
        <v>1.26582532314675</v>
      </c>
      <c r="F77">
        <f t="shared" si="1489"/>
        <v>0.73283482123419996</v>
      </c>
      <c r="V77">
        <f t="shared" si="1479"/>
        <v>74</v>
      </c>
      <c r="W77">
        <f t="shared" si="1480"/>
        <v>1.26582532314675</v>
      </c>
      <c r="X77">
        <f t="shared" si="1481"/>
        <v>0.73283482123419996</v>
      </c>
      <c r="Y77">
        <f t="shared" si="1482"/>
        <v>0.53299050191255004</v>
      </c>
      <c r="Z77">
        <f t="shared" si="1477"/>
        <v>1.1062504015180801</v>
      </c>
      <c r="AA77">
        <f t="shared" si="1483"/>
        <v>-1.6352203360708599</v>
      </c>
      <c r="AB77">
        <f t="shared" si="1484"/>
        <v>2.70120133989596</v>
      </c>
      <c r="AD77">
        <f t="shared" si="1488"/>
        <v>74</v>
      </c>
      <c r="AE77">
        <f t="shared" si="1485"/>
        <v>8.4120728228094794</v>
      </c>
    </row>
    <row r="78">
      <c r="A78">
        <f t="shared" si="1486"/>
        <v>75</v>
      </c>
      <c r="B78">
        <v>9.7238473406247508</v>
      </c>
      <c r="D78">
        <f t="shared" si="1487"/>
        <v>75</v>
      </c>
      <c r="E78">
        <f t="shared" si="1478"/>
        <v>-1.32100778193267</v>
      </c>
      <c r="F78">
        <f t="shared" si="1489"/>
        <v>-0.59740234211177801</v>
      </c>
      <c r="V78">
        <f t="shared" si="1479"/>
        <v>75</v>
      </c>
      <c r="W78">
        <f t="shared" si="1480"/>
        <v>-1.32100778193267</v>
      </c>
      <c r="X78">
        <f t="shared" si="1481"/>
        <v>-0.59740234211177801</v>
      </c>
      <c r="Y78">
        <f t="shared" si="1482"/>
        <v>-0.72360543982089198</v>
      </c>
      <c r="Z78">
        <f t="shared" si="1477"/>
        <v>1.1062504015180801</v>
      </c>
      <c r="AA78">
        <f t="shared" si="1483"/>
        <v>-2.8918162778043</v>
      </c>
      <c r="AB78">
        <f t="shared" si="1484"/>
        <v>1.44460539816252</v>
      </c>
      <c r="AD78">
        <f t="shared" si="1488"/>
        <v>75</v>
      </c>
      <c r="AE78">
        <f t="shared" si="1485"/>
        <v>9.7238473406247508</v>
      </c>
    </row>
    <row r="79">
      <c r="A79">
        <f t="shared" si="1486"/>
        <v>76</v>
      </c>
      <c r="B79">
        <v>8.4487887533605956</v>
      </c>
      <c r="D79">
        <f t="shared" si="1487"/>
        <v>76</v>
      </c>
      <c r="E79">
        <f t="shared" si="1478"/>
        <v>0.81443167995677701</v>
      </c>
      <c r="F79">
        <f t="shared" si="1489"/>
        <v>-1.3963765256235e-02</v>
      </c>
      <c r="V79">
        <f t="shared" si="1479"/>
        <v>76</v>
      </c>
      <c r="W79">
        <f t="shared" si="1480"/>
        <v>0.81443167995677701</v>
      </c>
      <c r="X79">
        <f t="shared" si="1481"/>
        <v>-1.3963765256235e-02</v>
      </c>
      <c r="Y79">
        <f t="shared" si="1482"/>
        <v>0.828395445213012</v>
      </c>
      <c r="Z79">
        <f t="shared" si="1477"/>
        <v>1.1062504015180801</v>
      </c>
      <c r="AA79">
        <f t="shared" si="1483"/>
        <v>-1.3398153927704</v>
      </c>
      <c r="AB79">
        <f t="shared" si="1484"/>
        <v>2.99660628319642</v>
      </c>
      <c r="AD79">
        <f t="shared" si="1488"/>
        <v>76</v>
      </c>
      <c r="AE79">
        <f t="shared" si="1485"/>
        <v>8.4487887533605992</v>
      </c>
    </row>
    <row r="80">
      <c r="A80">
        <f t="shared" si="1486"/>
        <v>77</v>
      </c>
      <c r="B80">
        <v>9.3091696279858969</v>
      </c>
      <c r="D80">
        <f t="shared" si="1487"/>
        <v>77</v>
      </c>
      <c r="E80">
        <f t="shared" si="1478"/>
        <v>0.27397624957795502</v>
      </c>
      <c r="F80">
        <f t="shared" si="1489"/>
        <v>0.67842768663363895</v>
      </c>
      <c r="V80">
        <f t="shared" si="1479"/>
        <v>77</v>
      </c>
      <c r="W80">
        <f t="shared" si="1480"/>
        <v>0.27397624957795502</v>
      </c>
      <c r="X80">
        <f t="shared" si="1481"/>
        <v>0.67842768663363895</v>
      </c>
      <c r="Y80">
        <f t="shared" si="1482"/>
        <v>-0.40445143705568398</v>
      </c>
      <c r="Z80">
        <f t="shared" si="1477"/>
        <v>1.1062504015180801</v>
      </c>
      <c r="AA80">
        <f t="shared" si="1483"/>
        <v>-2.57266227503909</v>
      </c>
      <c r="AB80">
        <f t="shared" si="1484"/>
        <v>1.76375940092773</v>
      </c>
      <c r="AD80">
        <f t="shared" si="1488"/>
        <v>77</v>
      </c>
      <c r="AE80">
        <f t="shared" si="1485"/>
        <v>9.3091696279859004</v>
      </c>
    </row>
    <row r="81">
      <c r="A81">
        <f t="shared" si="1486"/>
        <v>78</v>
      </c>
      <c r="B81">
        <v>9.6290950722323778</v>
      </c>
      <c r="D81">
        <f t="shared" si="1487"/>
        <v>78</v>
      </c>
      <c r="E81">
        <f t="shared" si="1478"/>
        <v>0.82371007522069706</v>
      </c>
      <c r="F81">
        <f t="shared" si="1489"/>
        <v>0.986351314320982</v>
      </c>
      <c r="V81">
        <f t="shared" si="1479"/>
        <v>78</v>
      </c>
      <c r="W81">
        <f t="shared" si="1480"/>
        <v>0.82371007522069706</v>
      </c>
      <c r="X81">
        <f t="shared" si="1481"/>
        <v>0.986351314320982</v>
      </c>
      <c r="Y81">
        <f t="shared" si="1482"/>
        <v>-0.162641239100285</v>
      </c>
      <c r="Z81">
        <f t="shared" si="1477"/>
        <v>1.1062504015180801</v>
      </c>
      <c r="AA81">
        <f t="shared" si="1483"/>
        <v>-2.3308520770837</v>
      </c>
      <c r="AB81">
        <f t="shared" si="1484"/>
        <v>2.0055695988831301</v>
      </c>
      <c r="AD81">
        <f t="shared" si="1488"/>
        <v>78</v>
      </c>
      <c r="AE81">
        <f t="shared" si="1485"/>
        <v>9.6290950722323796</v>
      </c>
    </row>
    <row r="82">
      <c r="A82">
        <f t="shared" si="1486"/>
        <v>79</v>
      </c>
      <c r="B82">
        <v>10.498754342121549</v>
      </c>
      <c r="D82">
        <f t="shared" si="1487"/>
        <v>79</v>
      </c>
      <c r="E82">
        <f t="shared" si="1478"/>
        <v>-2.4101475021643601</v>
      </c>
      <c r="F82">
        <f t="shared" si="1489"/>
        <v>-1.83185292440184</v>
      </c>
      <c r="V82">
        <f t="shared" si="1479"/>
        <v>79</v>
      </c>
      <c r="W82">
        <f t="shared" si="1480"/>
        <v>-2.4101475021643601</v>
      </c>
      <c r="X82">
        <f t="shared" si="1481"/>
        <v>-1.83185292440184</v>
      </c>
      <c r="Y82">
        <f t="shared" si="1482"/>
        <v>-0.57829457776252002</v>
      </c>
      <c r="Z82">
        <f t="shared" si="1477"/>
        <v>1.1062504015180801</v>
      </c>
      <c r="AA82">
        <f t="shared" si="1483"/>
        <v>-2.7465054157459301</v>
      </c>
      <c r="AB82">
        <f t="shared" si="1484"/>
        <v>1.5899162602208901</v>
      </c>
      <c r="AD82">
        <f t="shared" si="1488"/>
        <v>79</v>
      </c>
      <c r="AE82">
        <f t="shared" si="1485"/>
        <v>10.4987543421216</v>
      </c>
    </row>
    <row r="83">
      <c r="A83">
        <f t="shared" si="1486"/>
        <v>80</v>
      </c>
      <c r="B83">
        <v>8.1345560346257617</v>
      </c>
      <c r="D83">
        <f t="shared" si="1487"/>
        <v>80</v>
      </c>
      <c r="E83">
        <f t="shared" si="1478"/>
        <v>0.97467833306895602</v>
      </c>
      <c r="F83">
        <f t="shared" si="1489"/>
        <v>-0.49940804639719005</v>
      </c>
      <c r="V83">
        <f t="shared" si="1479"/>
        <v>80</v>
      </c>
      <c r="W83">
        <f t="shared" si="1480"/>
        <v>0.97467833306895602</v>
      </c>
      <c r="X83">
        <f t="shared" si="1481"/>
        <v>-0.49940804639719005</v>
      </c>
      <c r="Y83">
        <f t="shared" si="1482"/>
        <v>1.4740863794661501</v>
      </c>
      <c r="Z83">
        <f t="shared" si="1477"/>
        <v>1.1062504015180801</v>
      </c>
      <c r="AA83">
        <f t="shared" si="1483"/>
        <v>-0.69412445851726001</v>
      </c>
      <c r="AB83">
        <f t="shared" si="1484"/>
        <v>3.6422972174495598</v>
      </c>
      <c r="AD83">
        <f t="shared" si="1488"/>
        <v>80</v>
      </c>
      <c r="AE83">
        <f t="shared" si="1485"/>
        <v>8.1345560346257599</v>
      </c>
    </row>
    <row r="84">
      <c r="A84">
        <f t="shared" si="1486"/>
        <v>81</v>
      </c>
      <c r="B84">
        <v>9.155183562363236</v>
      </c>
      <c r="D84">
        <f t="shared" si="1487"/>
        <v>81</v>
      </c>
      <c r="E84">
        <f t="shared" si="1478"/>
        <v>-1.2090473169579099</v>
      </c>
      <c r="F84">
        <f t="shared" si="1489"/>
        <v>-0.77741881298344495</v>
      </c>
      <c r="V84">
        <f t="shared" si="1479"/>
        <v>81</v>
      </c>
      <c r="W84">
        <f t="shared" si="1480"/>
        <v>-1.2090473169579099</v>
      </c>
      <c r="X84">
        <f t="shared" si="1481"/>
        <v>-0.77741881298344495</v>
      </c>
      <c r="Y84">
        <f t="shared" si="1482"/>
        <v>-0.43162850397446501</v>
      </c>
      <c r="Z84">
        <f t="shared" si="1477"/>
        <v>1.1062504015180801</v>
      </c>
      <c r="AA84">
        <f t="shared" si="1483"/>
        <v>-2.59983934195788</v>
      </c>
      <c r="AB84">
        <f t="shared" si="1484"/>
        <v>1.7365823340089499</v>
      </c>
      <c r="AD84">
        <f t="shared" si="1488"/>
        <v>81</v>
      </c>
      <c r="AE84">
        <f t="shared" si="1485"/>
        <v>9.1551835623632396</v>
      </c>
    </row>
    <row r="85">
      <c r="A85">
        <f t="shared" si="1486"/>
        <v>82</v>
      </c>
      <c r="B85">
        <v>7.9920854400738497</v>
      </c>
      <c r="D85">
        <f t="shared" si="1487"/>
        <v>82</v>
      </c>
      <c r="E85">
        <f t="shared" si="1478"/>
        <v>2.4014923619270299</v>
      </c>
      <c r="F85">
        <f t="shared" si="1489"/>
        <v>1.4997979345027499</v>
      </c>
      <c r="V85">
        <f t="shared" si="1479"/>
        <v>82</v>
      </c>
      <c r="W85">
        <f t="shared" si="1480"/>
        <v>2.4014923619270299</v>
      </c>
      <c r="X85">
        <f t="shared" si="1481"/>
        <v>1.4997979345027499</v>
      </c>
      <c r="Y85">
        <f t="shared" si="1482"/>
        <v>0.90169442742427997</v>
      </c>
      <c r="Z85">
        <f t="shared" si="1477"/>
        <v>1.1062504015180801</v>
      </c>
      <c r="AA85">
        <f t="shared" si="1483"/>
        <v>-1.26651641055913</v>
      </c>
      <c r="AB85">
        <f t="shared" si="1484"/>
        <v>3.0699052654076899</v>
      </c>
      <c r="AD85">
        <f t="shared" si="1488"/>
        <v>82</v>
      </c>
      <c r="AE85">
        <f t="shared" si="1485"/>
        <v>7.9920854400738497</v>
      </c>
    </row>
    <row r="86">
      <c r="A86">
        <f t="shared" si="1486"/>
        <v>83</v>
      </c>
      <c r="B86">
        <v>10.439526996669359</v>
      </c>
      <c r="D86">
        <f t="shared" si="1487"/>
        <v>83</v>
      </c>
      <c r="E86">
        <f t="shared" si="1478"/>
        <v>0.68977653708397502</v>
      </c>
      <c r="F86">
        <f t="shared" si="1489"/>
        <v>2.0279324718179499</v>
      </c>
      <c r="V86">
        <f t="shared" si="1479"/>
        <v>83</v>
      </c>
      <c r="W86">
        <f t="shared" si="1480"/>
        <v>0.68977653708397502</v>
      </c>
      <c r="X86">
        <f t="shared" si="1481"/>
        <v>2.0279324718179499</v>
      </c>
      <c r="Y86">
        <f t="shared" si="1482"/>
        <v>-1.33815593473398</v>
      </c>
      <c r="Z86">
        <f t="shared" si="1477"/>
        <v>1.1062504015180801</v>
      </c>
      <c r="AA86">
        <f t="shared" si="1483"/>
        <v>-3.5063667727173899</v>
      </c>
      <c r="AB86">
        <f t="shared" si="1484"/>
        <v>0.83005490324942988</v>
      </c>
      <c r="AD86">
        <f t="shared" si="1488"/>
        <v>83</v>
      </c>
      <c r="AE86">
        <f t="shared" si="1485"/>
        <v>10.4395269966694</v>
      </c>
    </row>
    <row r="87">
      <c r="A87">
        <f t="shared" si="1486"/>
        <v>84</v>
      </c>
      <c r="B87">
        <v>11.175252728421924</v>
      </c>
      <c r="D87">
        <f t="shared" si="1487"/>
        <v>84</v>
      </c>
      <c r="E87">
        <f t="shared" si="1478"/>
        <v>-1.29969843402695</v>
      </c>
      <c r="F87">
        <f t="shared" si="1489"/>
        <v>-0.74476542547825997</v>
      </c>
      <c r="V87">
        <f t="shared" si="1479"/>
        <v>84</v>
      </c>
      <c r="W87">
        <f t="shared" si="1480"/>
        <v>-1.29969843402695</v>
      </c>
      <c r="X87">
        <f t="shared" si="1481"/>
        <v>-0.74476542547825997</v>
      </c>
      <c r="Y87">
        <f t="shared" si="1482"/>
        <v>-0.55493300854868999</v>
      </c>
      <c r="Z87">
        <f t="shared" si="1477"/>
        <v>1.1062504015180801</v>
      </c>
      <c r="AA87">
        <f t="shared" si="1483"/>
        <v>-2.7231438465320998</v>
      </c>
      <c r="AB87">
        <f t="shared" si="1484"/>
        <v>1.6132778294347201</v>
      </c>
      <c r="AD87">
        <f t="shared" si="1488"/>
        <v>84</v>
      </c>
      <c r="AE87">
        <f t="shared" si="1485"/>
        <v>11.175252728421899</v>
      </c>
    </row>
    <row r="88">
      <c r="A88">
        <f t="shared" si="1486"/>
        <v>85</v>
      </c>
      <c r="B88">
        <v>9.9215034890634719</v>
      </c>
      <c r="D88">
        <f t="shared" si="1487"/>
        <v>85</v>
      </c>
      <c r="E88">
        <f t="shared" si="1478"/>
        <v>0.685566180193106</v>
      </c>
      <c r="F88">
        <f t="shared" si="1489"/>
        <v>1.2992103720588e-02</v>
      </c>
      <c r="V88">
        <f t="shared" si="1479"/>
        <v>85</v>
      </c>
      <c r="W88">
        <f t="shared" si="1480"/>
        <v>0.685566180193106</v>
      </c>
      <c r="X88">
        <f t="shared" si="1481"/>
        <v>1.2992103720588e-02</v>
      </c>
      <c r="Y88">
        <f t="shared" si="1482"/>
        <v>0.67257407647251799</v>
      </c>
      <c r="Z88">
        <f t="shared" si="1477"/>
        <v>1.1062504015180801</v>
      </c>
      <c r="AA88">
        <f t="shared" si="1483"/>
        <v>-1.4956367615108901</v>
      </c>
      <c r="AB88">
        <f t="shared" si="1484"/>
        <v>2.8407849144559298</v>
      </c>
      <c r="AD88">
        <f t="shared" si="1488"/>
        <v>85</v>
      </c>
      <c r="AE88">
        <f t="shared" si="1485"/>
        <v>9.9215034890634701</v>
      </c>
    </row>
    <row r="89">
      <c r="A89">
        <f t="shared" si="1486"/>
        <v>86</v>
      </c>
      <c r="B89">
        <v>10.653018863925139</v>
      </c>
      <c r="D89">
        <f t="shared" si="1487"/>
        <v>86</v>
      </c>
      <c r="E89">
        <f t="shared" si="1478"/>
        <v>-0.39800302263392301</v>
      </c>
      <c r="F89">
        <f t="shared" si="1489"/>
        <v>7.3570099773403994e-02</v>
      </c>
      <c r="V89">
        <f t="shared" si="1479"/>
        <v>86</v>
      </c>
      <c r="W89">
        <f t="shared" si="1480"/>
        <v>-0.39800302263392301</v>
      </c>
      <c r="X89">
        <f t="shared" si="1481"/>
        <v>7.3570099773403994e-02</v>
      </c>
      <c r="Y89">
        <f t="shared" si="1482"/>
        <v>-0.47157312240732702</v>
      </c>
      <c r="Z89">
        <f t="shared" si="1477"/>
        <v>1.1062504015180801</v>
      </c>
      <c r="AA89">
        <f t="shared" si="1483"/>
        <v>-2.6397839603907398</v>
      </c>
      <c r="AB89">
        <f t="shared" si="1484"/>
        <v>1.6966377155760799</v>
      </c>
      <c r="AD89">
        <f t="shared" si="1488"/>
        <v>86</v>
      </c>
      <c r="AE89">
        <f t="shared" si="1485"/>
        <v>10.6530188639251</v>
      </c>
    </row>
    <row r="90">
      <c r="A90">
        <f t="shared" si="1486"/>
        <v>87</v>
      </c>
      <c r="B90">
        <v>10.300965035959743</v>
      </c>
      <c r="D90">
        <f t="shared" si="1487"/>
        <v>87</v>
      </c>
      <c r="E90">
        <f t="shared" si="1478"/>
        <v>-1.0242025885877799</v>
      </c>
      <c r="F90">
        <f t="shared" si="1489"/>
        <v>-1.1729592724092901</v>
      </c>
      <c r="V90">
        <f t="shared" si="1479"/>
        <v>87</v>
      </c>
      <c r="W90">
        <f t="shared" si="1480"/>
        <v>-1.0242025885877799</v>
      </c>
      <c r="X90">
        <f t="shared" si="1481"/>
        <v>-1.1729592724092901</v>
      </c>
      <c r="Y90">
        <f t="shared" si="1482"/>
        <v>0.14875668382151</v>
      </c>
      <c r="Z90">
        <f t="shared" si="1477"/>
        <v>1.1062504015180801</v>
      </c>
      <c r="AA90">
        <f t="shared" si="1483"/>
        <v>-2.0194541541619002</v>
      </c>
      <c r="AB90">
        <f t="shared" si="1484"/>
        <v>2.3169675218049202</v>
      </c>
      <c r="AD90">
        <f t="shared" si="1488"/>
        <v>87</v>
      </c>
      <c r="AE90">
        <f t="shared" si="1485"/>
        <v>10.300965035959701</v>
      </c>
    </row>
    <row r="91">
      <c r="A91">
        <f t="shared" si="1486"/>
        <v>88</v>
      </c>
      <c r="B91">
        <v>9.322711642040451</v>
      </c>
      <c r="D91">
        <f t="shared" si="1487"/>
        <v>88</v>
      </c>
      <c r="E91">
        <f t="shared" si="1478"/>
        <v>1.83983606127303</v>
      </c>
      <c r="F91">
        <f t="shared" si="1489"/>
        <v>1.2098199172545101</v>
      </c>
      <c r="V91">
        <f t="shared" si="1479"/>
        <v>88</v>
      </c>
      <c r="W91">
        <f t="shared" si="1480"/>
        <v>1.83983606127303</v>
      </c>
      <c r="X91">
        <f t="shared" si="1481"/>
        <v>1.2098199172545101</v>
      </c>
      <c r="Y91">
        <f t="shared" si="1482"/>
        <v>0.63001614401852002</v>
      </c>
      <c r="Z91">
        <f t="shared" si="1477"/>
        <v>1.1062504015180801</v>
      </c>
      <c r="AA91">
        <f t="shared" si="1483"/>
        <v>-1.5381946939648901</v>
      </c>
      <c r="AB91">
        <f t="shared" si="1484"/>
        <v>2.7982269820019301</v>
      </c>
      <c r="AD91">
        <f t="shared" si="1488"/>
        <v>88</v>
      </c>
      <c r="AE91">
        <f t="shared" si="1485"/>
        <v>9.3227116420404492</v>
      </c>
    </row>
    <row r="92">
      <c r="A92">
        <f t="shared" si="1486"/>
        <v>89</v>
      </c>
      <c r="B92">
        <v>11.208496897982</v>
      </c>
      <c r="D92">
        <f t="shared" si="1487"/>
        <v>89</v>
      </c>
      <c r="E92">
        <f t="shared" si="1478"/>
        <v>-1.42073384143546</v>
      </c>
      <c r="F92">
        <f t="shared" si="1489"/>
        <v>-0.27605687076939001</v>
      </c>
      <c r="V92">
        <f t="shared" si="1479"/>
        <v>89</v>
      </c>
      <c r="W92">
        <f t="shared" si="1480"/>
        <v>-1.42073384143546</v>
      </c>
      <c r="X92">
        <f t="shared" si="1481"/>
        <v>-0.27605687076939001</v>
      </c>
      <c r="Y92">
        <f t="shared" si="1482"/>
        <v>-1.14467697066607</v>
      </c>
      <c r="Z92">
        <f t="shared" si="1477"/>
        <v>1.1062504015180801</v>
      </c>
      <c r="AA92">
        <f t="shared" si="1483"/>
        <v>-3.3128878086494802</v>
      </c>
      <c r="AB92">
        <f t="shared" si="1484"/>
        <v>1.02353386731734</v>
      </c>
      <c r="AD92">
        <f t="shared" si="1488"/>
        <v>89</v>
      </c>
      <c r="AE92">
        <f t="shared" si="1485"/>
        <v>11.208496897982</v>
      </c>
    </row>
    <row r="93">
      <c r="A93">
        <f t="shared" si="1486"/>
        <v>90</v>
      </c>
      <c r="B93">
        <v>9.8337122512150561</v>
      </c>
      <c r="D93">
        <f t="shared" si="1487"/>
        <v>90</v>
      </c>
      <c r="E93">
        <f t="shared" si="1478"/>
        <v>1.12956745848352</v>
      </c>
      <c r="F93">
        <f t="shared" si="1489"/>
        <v>0.36268650519360801</v>
      </c>
      <c r="V93">
        <f t="shared" si="1479"/>
        <v>90</v>
      </c>
      <c r="W93">
        <f t="shared" si="1480"/>
        <v>1.12956745848352</v>
      </c>
      <c r="X93">
        <f t="shared" si="1481"/>
        <v>0.36268650519360801</v>
      </c>
      <c r="Y93">
        <f t="shared" si="1482"/>
        <v>0.76688095328991202</v>
      </c>
      <c r="Z93">
        <f t="shared" si="1477"/>
        <v>1.1062504015180801</v>
      </c>
      <c r="AA93">
        <f t="shared" si="1483"/>
        <v>-1.4013298846935001</v>
      </c>
      <c r="AB93">
        <f t="shared" si="1484"/>
        <v>2.9350917912733201</v>
      </c>
      <c r="AD93">
        <f t="shared" si="1488"/>
        <v>90</v>
      </c>
      <c r="AE93">
        <f t="shared" si="1485"/>
        <v>9.8337122512150597</v>
      </c>
    </row>
    <row r="94">
      <c r="A94">
        <f t="shared" si="1486"/>
        <v>91</v>
      </c>
      <c r="B94">
        <v>11.009228904367124</v>
      </c>
      <c r="D94">
        <f t="shared" si="1487"/>
        <v>91</v>
      </c>
      <c r="E94">
        <f t="shared" si="1478"/>
        <v>-1.3829664347764501</v>
      </c>
      <c r="F94">
        <f t="shared" si="1489"/>
        <v>-0.64392090195923901</v>
      </c>
      <c r="V94">
        <f t="shared" si="1479"/>
        <v>91</v>
      </c>
      <c r="W94">
        <f t="shared" si="1480"/>
        <v>-1.3829664347764501</v>
      </c>
      <c r="X94">
        <f t="shared" si="1481"/>
        <v>-0.64392090195923901</v>
      </c>
      <c r="Y94">
        <f t="shared" si="1482"/>
        <v>-0.73904553281721097</v>
      </c>
      <c r="Z94">
        <f t="shared" si="1477"/>
        <v>1.1062504015180801</v>
      </c>
      <c r="AA94">
        <f t="shared" si="1483"/>
        <v>-2.9072563708006198</v>
      </c>
      <c r="AB94">
        <f t="shared" si="1484"/>
        <v>1.4291653051662001</v>
      </c>
      <c r="AD94">
        <f t="shared" si="1488"/>
        <v>91</v>
      </c>
      <c r="AE94">
        <f t="shared" si="1485"/>
        <v>11.009228904367101</v>
      </c>
    </row>
    <row r="95">
      <c r="A95">
        <f t="shared" si="1486"/>
        <v>92</v>
      </c>
      <c r="B95">
        <v>9.672211664259164</v>
      </c>
      <c r="D95">
        <f t="shared" si="1487"/>
        <v>92</v>
      </c>
      <c r="E95">
        <f t="shared" si="1478"/>
        <v>-1.69610569350142</v>
      </c>
      <c r="F95">
        <f t="shared" si="1489"/>
        <v>-2.47395910665109</v>
      </c>
      <c r="V95">
        <f t="shared" si="1479"/>
        <v>92</v>
      </c>
      <c r="W95">
        <f t="shared" si="1480"/>
        <v>-1.69610569350142</v>
      </c>
      <c r="X95">
        <f t="shared" si="1481"/>
        <v>-2.47395910665109</v>
      </c>
      <c r="Y95">
        <f t="shared" si="1482"/>
        <v>0.77785341314967005</v>
      </c>
      <c r="Z95">
        <f t="shared" si="1477"/>
        <v>1.1062504015180801</v>
      </c>
      <c r="AA95">
        <f t="shared" si="1483"/>
        <v>-1.39035742483374</v>
      </c>
      <c r="AB95">
        <f t="shared" si="1484"/>
        <v>2.9460642511330799</v>
      </c>
      <c r="AD95">
        <f t="shared" si="1488"/>
        <v>92</v>
      </c>
      <c r="AE95">
        <f t="shared" si="1485"/>
        <v>9.6722116642591693</v>
      </c>
    </row>
    <row r="96">
      <c r="A96">
        <f t="shared" si="1486"/>
        <v>93</v>
      </c>
      <c r="B96">
        <v>8.0220551654262664</v>
      </c>
      <c r="D96">
        <f t="shared" si="1487"/>
        <v>93</v>
      </c>
      <c r="E96">
        <f t="shared" si="1478"/>
        <v>1.03215612661349</v>
      </c>
      <c r="F96">
        <f t="shared" si="1489"/>
        <v>-0.17441971792596001</v>
      </c>
      <c r="V96">
        <f t="shared" si="1479"/>
        <v>93</v>
      </c>
      <c r="W96">
        <f t="shared" si="1480"/>
        <v>1.03215612661349</v>
      </c>
      <c r="X96">
        <f t="shared" si="1481"/>
        <v>-0.17441971792596001</v>
      </c>
      <c r="Y96">
        <f t="shared" si="1482"/>
        <v>1.2065758445394501</v>
      </c>
      <c r="Z96">
        <f t="shared" si="1477"/>
        <v>1.1062504015180801</v>
      </c>
      <c r="AA96">
        <f t="shared" si="1483"/>
        <v>-0.96163499344395986</v>
      </c>
      <c r="AB96">
        <f t="shared" si="1484"/>
        <v>3.3747866825228598</v>
      </c>
      <c r="AD96">
        <f t="shared" si="1488"/>
        <v>93</v>
      </c>
      <c r="AE96">
        <f t="shared" si="1485"/>
        <v>8.02205516542627</v>
      </c>
    </row>
    <row r="97">
      <c r="A97">
        <f t="shared" si="1486"/>
        <v>94</v>
      </c>
      <c r="B97">
        <v>9.1001604867082797</v>
      </c>
      <c r="D97">
        <f t="shared" si="1487"/>
        <v>94</v>
      </c>
      <c r="E97">
        <f t="shared" si="1478"/>
        <v>1.1474538884551</v>
      </c>
      <c r="F97">
        <f t="shared" si="1489"/>
        <v>1.50506593266948</v>
      </c>
      <c r="V97">
        <f t="shared" si="1479"/>
        <v>94</v>
      </c>
      <c r="W97">
        <f t="shared" si="1480"/>
        <v>1.1474538884551</v>
      </c>
      <c r="X97">
        <f t="shared" si="1481"/>
        <v>1.50506593266948</v>
      </c>
      <c r="Y97">
        <f t="shared" si="1482"/>
        <v>-0.35761204421437998</v>
      </c>
      <c r="Z97">
        <f t="shared" si="1477"/>
        <v>1.1062504015180801</v>
      </c>
      <c r="AA97">
        <f t="shared" si="1483"/>
        <v>-2.5258228821977902</v>
      </c>
      <c r="AB97">
        <f t="shared" si="1484"/>
        <v>1.81059879376903</v>
      </c>
      <c r="AD97">
        <f t="shared" si="1488"/>
        <v>94</v>
      </c>
      <c r="AE97">
        <f t="shared" si="1485"/>
        <v>9.1001604867082797</v>
      </c>
    </row>
    <row r="98">
      <c r="A98">
        <f t="shared" si="1486"/>
        <v>95</v>
      </c>
      <c r="B98">
        <v>10.293563569831946</v>
      </c>
      <c r="D98">
        <f t="shared" si="1487"/>
        <v>95</v>
      </c>
      <c r="E98">
        <f t="shared" si="1478"/>
        <v>0.53462512785607696</v>
      </c>
      <c r="F98">
        <f t="shared" si="1489"/>
        <v>1.11713775402392</v>
      </c>
      <c r="V98">
        <f t="shared" si="1479"/>
        <v>95</v>
      </c>
      <c r="W98">
        <f t="shared" si="1480"/>
        <v>0.53462512785607696</v>
      </c>
      <c r="X98">
        <f t="shared" si="1481"/>
        <v>1.11713775402392</v>
      </c>
      <c r="Y98">
        <f t="shared" si="1482"/>
        <v>-0.58251262616784305</v>
      </c>
      <c r="Z98">
        <f t="shared" si="1477"/>
        <v>1.1062504015180801</v>
      </c>
      <c r="AA98">
        <f t="shared" si="1483"/>
        <v>-2.7507234641512501</v>
      </c>
      <c r="AB98">
        <f t="shared" si="1484"/>
        <v>1.58569821181557</v>
      </c>
      <c r="AD98">
        <f t="shared" si="1488"/>
        <v>95</v>
      </c>
      <c r="AE98">
        <f t="shared" si="1485"/>
        <v>10.2935635698319</v>
      </c>
    </row>
    <row r="99">
      <c r="A99">
        <f t="shared" si="1486"/>
        <v>96</v>
      </c>
      <c r="B99">
        <v>10.874137892356456</v>
      </c>
      <c r="D99">
        <f t="shared" si="1487"/>
        <v>96</v>
      </c>
      <c r="E99">
        <f>B100-B99-J$6</f>
        <v>0.12850184335707601</v>
      </c>
      <c r="F99">
        <f t="shared" si="1489"/>
        <v>0.47178442120509301</v>
      </c>
      <c r="V99">
        <f t="shared" si="1479"/>
        <v>96</v>
      </c>
      <c r="W99">
        <f t="shared" si="1480"/>
        <v>0.12850184335707601</v>
      </c>
      <c r="X99">
        <f t="shared" si="1481"/>
        <v>0.47178442120509301</v>
      </c>
      <c r="Y99">
        <f t="shared" si="1482"/>
        <v>-0.34328257784801702</v>
      </c>
      <c r="Z99">
        <f t="shared" si="1477"/>
        <v>1.1062504015180801</v>
      </c>
      <c r="AA99">
        <f t="shared" si="1483"/>
        <v>-2.5114934158314299</v>
      </c>
      <c r="AB99">
        <f t="shared" si="1484"/>
        <v>1.82492826013539</v>
      </c>
      <c r="AD99">
        <f t="shared" si="1488"/>
        <v>96</v>
      </c>
      <c r="AE99">
        <f t="shared" si="1485"/>
        <v>10.874137892356501</v>
      </c>
    </row>
    <row r="100">
      <c r="A100">
        <f t="shared" si="1486"/>
        <v>97</v>
      </c>
      <c r="B100">
        <v>11.048588930382072</v>
      </c>
      <c r="D100">
        <f t="shared" si="1487"/>
        <v>97</v>
      </c>
      <c r="E100">
        <f t="shared" ref="E100:E107" si="1490">B101-B100-J$6</f>
        <v>-0.71743451664472502</v>
      </c>
      <c r="F100">
        <f>E100-SUMPRODUCT(E98:E99,I$4:I$5)-SUMPRODUCT(F99,J$5)</f>
        <v>-0.56244177634741499</v>
      </c>
      <c r="V100">
        <f t="shared" ref="V100:V107" si="1491">D100</f>
        <v>97</v>
      </c>
      <c r="W100">
        <f t="shared" ref="W100:W107" si="1492">E100</f>
        <v>-0.71743451664472502</v>
      </c>
      <c r="X100">
        <f t="shared" ref="X100:X107" si="1493">F100</f>
        <v>-0.56244177634741499</v>
      </c>
      <c r="Y100">
        <f t="shared" ref="Y100:Y107" si="1494">W100-X100</f>
        <v>-0.15499274029731</v>
      </c>
      <c r="Z100">
        <f t="shared" si="1477"/>
        <v>1.1062504015180801</v>
      </c>
      <c r="AA100">
        <f t="shared" ref="AA100:AA112" si="1495">Y100-NORMSINV(1-Z$2/2)*Z100</f>
        <v>-2.3232035782807201</v>
      </c>
      <c r="AB100">
        <f t="shared" ref="AB100:AB112" si="1496">Y100+NORMSINV(1-Z$2/2)*Z100</f>
        <v>2.0132180976860998</v>
      </c>
      <c r="AD100">
        <f t="shared" si="1488"/>
        <v>97</v>
      </c>
      <c r="AE100">
        <f t="shared" ref="AE100:AE108" si="1497">B100</f>
        <v>11.048588930382101</v>
      </c>
    </row>
    <row r="101">
      <c r="A101">
        <f t="shared" ref="A101:A108" si="1498">A100+1</f>
        <v>98</v>
      </c>
      <c r="B101">
        <v>10.377103608405848</v>
      </c>
      <c r="D101">
        <f t="shared" ref="D101:D107" si="1499">D100+1</f>
        <v>98</v>
      </c>
      <c r="E101">
        <f t="shared" si="1490"/>
        <v>0.67768060340097702</v>
      </c>
      <c r="F101">
        <f>E101-SUMPRODUCT(E99:E100,I$4:I$5)-SUMPRODUCT(F100,J$5)</f>
        <v>0.28568715805633299</v>
      </c>
      <c r="V101">
        <f t="shared" si="1491"/>
        <v>98</v>
      </c>
      <c r="W101">
        <f t="shared" si="1492"/>
        <v>0.67768060340097702</v>
      </c>
      <c r="X101">
        <f t="shared" si="1493"/>
        <v>0.28568715805633299</v>
      </c>
      <c r="Y101">
        <f t="shared" si="1494"/>
        <v>0.39199344534464398</v>
      </c>
      <c r="Z101">
        <f t="shared" si="1477"/>
        <v>1.1062504015180801</v>
      </c>
      <c r="AA101">
        <f t="shared" si="1495"/>
        <v>-1.7762173926387701</v>
      </c>
      <c r="AB101">
        <f t="shared" si="1496"/>
        <v>2.5602042833280501</v>
      </c>
      <c r="AD101">
        <f t="shared" ref="AD101:AD113" si="1500">AD100+1</f>
        <v>98</v>
      </c>
      <c r="AE101">
        <f t="shared" si="1497"/>
        <v>10.3771036084059</v>
      </c>
    </row>
    <row r="102">
      <c r="A102">
        <f t="shared" si="1498"/>
        <v>99</v>
      </c>
      <c r="B102">
        <v>11.100733406475408</v>
      </c>
      <c r="D102">
        <f t="shared" si="1499"/>
        <v>99</v>
      </c>
      <c r="E102">
        <f t="shared" si="1490"/>
        <v>-1.5902259113724799</v>
      </c>
      <c r="F102">
        <f t="shared" ref="F102:F107" si="1501">E102-SUMPRODUCT(E100:E101,I$4:I$5)-SUMPRODUCT(F101,J$5)</f>
        <v>-1.1494597613586699</v>
      </c>
      <c r="V102">
        <f t="shared" si="1491"/>
        <v>99</v>
      </c>
      <c r="W102">
        <f t="shared" si="1492"/>
        <v>-1.5902259113724799</v>
      </c>
      <c r="X102">
        <f t="shared" si="1493"/>
        <v>-1.1494597613586699</v>
      </c>
      <c r="Y102">
        <f t="shared" si="1494"/>
        <v>-0.44076615001380998</v>
      </c>
      <c r="Z102">
        <f t="shared" si="1477"/>
        <v>1.1062504015180801</v>
      </c>
      <c r="AA102">
        <f t="shared" si="1495"/>
        <v>-2.6089769879972202</v>
      </c>
      <c r="AB102">
        <f t="shared" si="1496"/>
        <v>1.7274446879695999</v>
      </c>
      <c r="AD102">
        <f t="shared" si="1500"/>
        <v>99</v>
      </c>
      <c r="AE102">
        <f t="shared" si="1497"/>
        <v>11.100733406475401</v>
      </c>
    </row>
    <row r="103">
      <c r="A103">
        <f t="shared" si="1498"/>
        <v>100</v>
      </c>
      <c r="B103">
        <v>9.5564566897714425</v>
      </c>
      <c r="D103">
        <f t="shared" si="1499"/>
        <v>100</v>
      </c>
      <c r="E103">
        <f t="shared" si="1490"/>
        <v>0.52420612775793496</v>
      </c>
      <c r="F103">
        <f t="shared" si="1501"/>
        <v>-0.46009747606691997</v>
      </c>
      <c r="V103">
        <f t="shared" si="1491"/>
        <v>100</v>
      </c>
      <c r="W103">
        <f t="shared" si="1492"/>
        <v>0.52420612775793496</v>
      </c>
      <c r="X103">
        <f t="shared" si="1493"/>
        <v>-0.46009747606691997</v>
      </c>
      <c r="Y103">
        <f t="shared" si="1494"/>
        <v>0.98430360382485504</v>
      </c>
      <c r="Z103">
        <f t="shared" si="1477"/>
        <v>1.1062504015180801</v>
      </c>
      <c r="AA103">
        <f t="shared" si="1495"/>
        <v>-1.1839072341585599</v>
      </c>
      <c r="AB103">
        <f t="shared" si="1496"/>
        <v>3.15251444180827</v>
      </c>
      <c r="AD103">
        <f t="shared" si="1500"/>
        <v>100</v>
      </c>
      <c r="AE103">
        <f t="shared" si="1497"/>
        <v>9.5564566897714407</v>
      </c>
    </row>
    <row r="104">
      <c r="A104">
        <f t="shared" si="1498"/>
        <v>101</v>
      </c>
      <c r="B104">
        <v>10.126612012197912</v>
      </c>
      <c r="D104">
        <f t="shared" si="1499"/>
        <v>101</v>
      </c>
      <c r="E104">
        <f t="shared" si="1490"/>
        <v>0.44609559285237593</v>
      </c>
      <c r="F104">
        <f t="shared" si="1501"/>
        <v>0.63792522008759001</v>
      </c>
      <c r="V104">
        <f t="shared" si="1491"/>
        <v>101</v>
      </c>
      <c r="W104">
        <f t="shared" si="1492"/>
        <v>0.44609559285237593</v>
      </c>
      <c r="X104">
        <f t="shared" si="1493"/>
        <v>0.63792522008759001</v>
      </c>
      <c r="Y104">
        <f t="shared" si="1494"/>
        <v>-0.19182962723521399</v>
      </c>
      <c r="Z104">
        <f t="shared" si="1477"/>
        <v>1.1062504015180801</v>
      </c>
      <c r="AA104">
        <f t="shared" si="1495"/>
        <v>-2.3600404652186202</v>
      </c>
      <c r="AB104">
        <f t="shared" si="1496"/>
        <v>1.9763812107481999</v>
      </c>
      <c r="AD104">
        <f t="shared" si="1500"/>
        <v>101</v>
      </c>
      <c r="AE104">
        <f t="shared" si="1497"/>
        <v>10.126612012197899</v>
      </c>
    </row>
    <row r="105">
      <c r="A105">
        <f t="shared" si="1498"/>
        <v>102</v>
      </c>
      <c r="B105">
        <v>10.618656799718755</v>
      </c>
      <c r="D105">
        <f t="shared" si="1499"/>
        <v>102</v>
      </c>
      <c r="E105">
        <f t="shared" si="1490"/>
        <v>0.70477165312637602</v>
      </c>
      <c r="F105">
        <f t="shared" si="1501"/>
        <v>0.91898815451078997</v>
      </c>
      <c r="V105">
        <f t="shared" si="1491"/>
        <v>102</v>
      </c>
      <c r="W105">
        <f t="shared" si="1492"/>
        <v>0.70477165312637602</v>
      </c>
      <c r="X105">
        <f t="shared" si="1493"/>
        <v>0.91898815451078997</v>
      </c>
      <c r="Y105">
        <f t="shared" si="1494"/>
        <v>-0.214216501384414</v>
      </c>
      <c r="Z105">
        <f t="shared" si="1477"/>
        <v>1.1062504015180801</v>
      </c>
      <c r="AA105">
        <f t="shared" si="1495"/>
        <v>-2.3824273393678199</v>
      </c>
      <c r="AB105">
        <f t="shared" si="1496"/>
        <v>1.953994336599</v>
      </c>
      <c r="AD105">
        <f t="shared" si="1500"/>
        <v>102</v>
      </c>
      <c r="AE105">
        <f t="shared" si="1497"/>
        <v>10.618656799718799</v>
      </c>
    </row>
    <row r="106">
      <c r="A106">
        <f t="shared" si="1498"/>
        <v>103</v>
      </c>
      <c r="B106">
        <v>11.369377647513677</v>
      </c>
      <c r="D106">
        <f t="shared" si="1499"/>
        <v>103</v>
      </c>
      <c r="E106">
        <f t="shared" si="1490"/>
        <v>-0.65388462194682295</v>
      </c>
      <c r="F106">
        <f t="shared" si="1501"/>
        <v>-0.19709794941959499</v>
      </c>
      <c r="V106">
        <f t="shared" si="1491"/>
        <v>103</v>
      </c>
      <c r="W106">
        <f t="shared" si="1492"/>
        <v>-0.65388462194682295</v>
      </c>
      <c r="X106">
        <f t="shared" si="1493"/>
        <v>-0.19709794941959499</v>
      </c>
      <c r="Y106">
        <f t="shared" si="1494"/>
        <v>-0.45678667252722799</v>
      </c>
      <c r="Z106">
        <f t="shared" si="1477"/>
        <v>1.1062504015180801</v>
      </c>
      <c r="AA106">
        <f t="shared" si="1495"/>
        <v>-2.62499751051064</v>
      </c>
      <c r="AB106">
        <f t="shared" si="1496"/>
        <v>1.7114241654561799</v>
      </c>
      <c r="AD106">
        <f t="shared" si="1500"/>
        <v>103</v>
      </c>
      <c r="AE106">
        <f t="shared" si="1497"/>
        <v>11.3693776475137</v>
      </c>
    </row>
    <row r="107">
      <c r="A107">
        <f t="shared" si="1498"/>
        <v>104</v>
      </c>
      <c r="B107">
        <v>10.761442220235375</v>
      </c>
      <c r="D107" s="14">
        <f t="shared" si="1499"/>
        <v>104</v>
      </c>
      <c r="E107" s="14">
        <f t="shared" si="1490"/>
        <v>1.14737364057908</v>
      </c>
      <c r="F107" s="14">
        <f t="shared" si="1501"/>
        <v>0.798907840831938</v>
      </c>
      <c r="V107">
        <f t="shared" si="1491"/>
        <v>104</v>
      </c>
      <c r="W107">
        <f t="shared" si="1492"/>
        <v>1.14737364057908</v>
      </c>
      <c r="X107">
        <f t="shared" si="1493"/>
        <v>0.798907840831938</v>
      </c>
      <c r="Y107">
        <f t="shared" si="1494"/>
        <v>0.34846579974714198</v>
      </c>
      <c r="Z107">
        <f t="shared" si="1477"/>
        <v>1.1062504015180801</v>
      </c>
      <c r="AA107">
        <f t="shared" si="1495"/>
        <v>-1.8197450382362701</v>
      </c>
      <c r="AB107">
        <f t="shared" si="1496"/>
        <v>2.5166766377305501</v>
      </c>
      <c r="AD107">
        <f t="shared" si="1500"/>
        <v>104</v>
      </c>
      <c r="AE107">
        <f t="shared" si="1497"/>
        <v>10.7614422202354</v>
      </c>
    </row>
    <row r="108">
      <c r="A108">
        <f t="shared" si="1498"/>
        <v>105</v>
      </c>
      <c r="B108" s="14">
        <v>11.954765055482961</v>
      </c>
      <c r="V108">
        <f t="shared" ref="V108:V112" si="1502">V107+1</f>
        <v>105</v>
      </c>
      <c r="Y108">
        <f>SUMPRODUCT(W106:W107,I$4:I$5)+SUMPRODUCT(X107,J$5)</f>
        <v>-0.76971376579214001</v>
      </c>
      <c r="Z108" t="e">
        <f t="shared" ref="Z108:Z112" si="1503">J$15*SQRT(SUMSQ(M$15:M15))</f>
        <v>#NAME?</v>
      </c>
      <c r="AA108" t="e">
        <f t="shared" si="1495"/>
        <v>#NAME?</v>
      </c>
      <c r="AB108" t="e">
        <f t="shared" si="1496"/>
        <v>#NAME?</v>
      </c>
      <c r="AD108" s="14">
        <f t="shared" si="1500"/>
        <v>105</v>
      </c>
      <c r="AE108" s="14">
        <f t="shared" si="1497"/>
        <v>11.954765055483</v>
      </c>
    </row>
    <row r="109">
      <c r="V109">
        <f t="shared" si="1502"/>
        <v>106</v>
      </c>
      <c r="Y109">
        <f>SUMPRODUCT(W107,I4)+SUMPRODUCT(Y108,I5)</f>
        <v>0.33992404395838399</v>
      </c>
      <c r="Z109" t="e">
        <f t="shared" si="1503"/>
        <v>#NAME?</v>
      </c>
      <c r="AA109" t="e">
        <f t="shared" si="1495"/>
        <v>#NAME?</v>
      </c>
      <c r="AB109" t="e">
        <f t="shared" si="1496"/>
        <v>#NAME?</v>
      </c>
      <c r="AD109">
        <f t="shared" si="1500"/>
        <v>106</v>
      </c>
      <c r="AE109">
        <f t="shared" ref="AE109:AE113" si="1504">Y108+AE108+J$6</f>
        <v>11.2310004843594</v>
      </c>
    </row>
    <row r="110">
      <c r="V110">
        <f t="shared" si="1502"/>
        <v>107</v>
      </c>
      <c r="Y110">
        <f>SUMPRODUCT(Y108:Y109,I4:I5)</f>
        <v>-0.29683786058915201</v>
      </c>
      <c r="Z110" t="e">
        <f t="shared" si="1503"/>
        <v>#NAME?</v>
      </c>
      <c r="AA110" t="e">
        <f t="shared" si="1495"/>
        <v>#NAME?</v>
      </c>
      <c r="AB110" t="e">
        <f t="shared" si="1496"/>
        <v>#NAME?</v>
      </c>
      <c r="AD110">
        <f t="shared" si="1500"/>
        <v>107</v>
      </c>
      <c r="AE110">
        <f t="shared" si="1504"/>
        <v>11.6168737229863</v>
      </c>
    </row>
    <row r="111">
      <c r="V111">
        <f t="shared" si="1502"/>
        <v>108</v>
      </c>
      <c r="Y111">
        <f>SUMPRODUCT(Y109:Y110,I4:I5)</f>
        <v>7.3878640315476002e-02</v>
      </c>
      <c r="Z111" t="e">
        <f t="shared" si="1503"/>
        <v>#NAME?</v>
      </c>
      <c r="AA111" t="e">
        <f t="shared" si="1495"/>
        <v>#NAME?</v>
      </c>
      <c r="AB111" t="e">
        <f t="shared" si="1496"/>
        <v>#NAME?</v>
      </c>
      <c r="AD111">
        <f t="shared" si="1500"/>
        <v>108</v>
      </c>
      <c r="AE111">
        <f t="shared" si="1504"/>
        <v>11.3659850570656</v>
      </c>
    </row>
    <row r="112">
      <c r="V112" s="14">
        <f t="shared" si="1502"/>
        <v>109</v>
      </c>
      <c r="W112" s="14"/>
      <c r="X112" s="14"/>
      <c r="Y112" s="14">
        <f>SUMPRODUCT(Y110:Y111,I4:I5)</f>
        <v>-0.13678406978815799</v>
      </c>
      <c r="Z112" s="14" t="e">
        <f t="shared" si="1503"/>
        <v>#NAME?</v>
      </c>
      <c r="AA112" s="14" t="e">
        <f t="shared" si="1495"/>
        <v>#NAME?</v>
      </c>
      <c r="AB112" s="14" t="e">
        <f t="shared" si="1496"/>
        <v>#NAME?</v>
      </c>
      <c r="AD112">
        <f t="shared" si="1500"/>
        <v>109</v>
      </c>
      <c r="AE112">
        <f t="shared" si="1504"/>
        <v>11.4858128920496</v>
      </c>
    </row>
    <row r="113">
      <c r="AD113" s="14">
        <f t="shared" si="1500"/>
        <v>110</v>
      </c>
      <c r="AE113" s="14">
        <f t="shared" si="1504"/>
        <v>11.394978016929899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4.8125"/>
  </cols>
  <sheetData>
    <row r="1">
      <c r="A1" s="1" t="s">
        <v>592</v>
      </c>
      <c r="D1" t="s">
        <v>578</v>
      </c>
      <c r="H1" t="s">
        <v>475</v>
      </c>
      <c r="L1" t="s">
        <v>476</v>
      </c>
      <c r="P1" t="s">
        <v>477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391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 t="e">
        <f t="shared" ref="E4:E7" si="1505">B6-2*B5+B4-J$6</f>
        <v>#NAME?</v>
      </c>
      <c r="F4">
        <v>0</v>
      </c>
      <c r="H4" s="15">
        <v>2</v>
      </c>
      <c r="I4" t="e">
        <f>Q6</f>
        <v>#NAME?</v>
      </c>
      <c r="J4">
        <v>0</v>
      </c>
      <c r="L4" t="e">
        <v>#NAME?</v>
      </c>
      <c r="M4" t="e">
        <v>#NAME?</v>
      </c>
      <c r="N4" t="e">
        <v>#NAME?</v>
      </c>
      <c r="P4" t="s">
        <v>494</v>
      </c>
      <c r="Q4" t="e">
        <v>#NAME?</v>
      </c>
      <c r="R4" t="e">
        <v>#NAME?</v>
      </c>
      <c r="S4" t="e">
        <f t="shared" ref="S4:S7" si="1506">Q4/R4</f>
        <v>#NAME?</v>
      </c>
      <c r="T4" t="e">
        <f t="shared" ref="T4:T7" si="1507">TDIST(ABS(S4),J$18-J$10-J$11-1,2)</f>
        <v>#NAME?</v>
      </c>
      <c r="V4">
        <f t="shared" ref="V4:V9" si="1508">D4</f>
        <v>1</v>
      </c>
      <c r="W4" t="e">
        <f t="shared" ref="W4:W9" si="1509">E4</f>
        <v>#NAME?</v>
      </c>
      <c r="X4">
        <f t="shared" ref="X4:X9" si="1510">F4</f>
        <v>0</v>
      </c>
      <c r="Y4" t="e">
        <f t="shared" ref="Y4:Y9" si="1511">W4-X4</f>
        <v>#NAME?</v>
      </c>
      <c r="Z4" t="e">
        <f t="shared" ref="Z4:Z67" si="1512">J$15</f>
        <v>#NAME?</v>
      </c>
      <c r="AA4" t="e">
        <f t="shared" ref="AA4:AA9" si="1513">Y4-NORMSINV(1-Z$2/2)*Z4</f>
        <v>#NAME?</v>
      </c>
      <c r="AB4" t="e">
        <f t="shared" ref="AB4:AB9" si="1514">Y4+NORMSINV(1-Z$2/2)*Z4</f>
        <v>#NAME?</v>
      </c>
      <c r="AD4">
        <v>1</v>
      </c>
      <c r="AE4">
        <f t="shared" ref="AE4:AE9" si="1515">B4</f>
        <v>3.1176756475655401</v>
      </c>
    </row>
    <row r="5">
      <c r="A5">
        <f t="shared" ref="A5:A10" si="1516">A4+1</f>
        <v>2</v>
      </c>
      <c r="B5">
        <v>5.8082510857989273</v>
      </c>
      <c r="D5">
        <f t="shared" ref="D5:D10" si="1517">D4+1</f>
        <v>2</v>
      </c>
      <c r="E5" t="e">
        <f t="shared" si="1505"/>
        <v>#NAME?</v>
      </c>
      <c r="F5">
        <v>0</v>
      </c>
      <c r="H5" s="15">
        <f>H4-1</f>
        <v>1</v>
      </c>
      <c r="I5" t="e">
        <f>Q5</f>
        <v>#NAME?</v>
      </c>
      <c r="J5" t="e">
        <f>Q7</f>
        <v>#NAME?</v>
      </c>
      <c r="L5" s="14" t="e">
        <v>#NAME?</v>
      </c>
      <c r="M5" s="14" t="e">
        <v>#NAME?</v>
      </c>
      <c r="N5" s="14" t="e">
        <v>#NAME?</v>
      </c>
      <c r="P5" t="s">
        <v>488</v>
      </c>
      <c r="Q5" t="e">
        <v>#NAME?</v>
      </c>
      <c r="R5" t="e">
        <v>#NAME?</v>
      </c>
      <c r="S5" t="e">
        <f t="shared" si="1506"/>
        <v>#NAME?</v>
      </c>
      <c r="T5" t="e">
        <f t="shared" si="1507"/>
        <v>#NAME?</v>
      </c>
      <c r="V5">
        <f t="shared" si="1508"/>
        <v>2</v>
      </c>
      <c r="W5" t="e">
        <f t="shared" si="1509"/>
        <v>#NAME?</v>
      </c>
      <c r="X5">
        <f t="shared" si="1510"/>
        <v>0</v>
      </c>
      <c r="Y5" t="e">
        <f t="shared" si="1511"/>
        <v>#NAME?</v>
      </c>
      <c r="Z5" t="e">
        <f t="shared" si="1512"/>
        <v>#NAME?</v>
      </c>
      <c r="AA5" t="e">
        <f t="shared" si="1513"/>
        <v>#NAME?</v>
      </c>
      <c r="AB5" t="e">
        <f t="shared" si="1514"/>
        <v>#NAME?</v>
      </c>
      <c r="AD5">
        <f t="shared" ref="AD5:AD10" si="1518">AD4+1</f>
        <v>2</v>
      </c>
      <c r="AE5">
        <f t="shared" si="1515"/>
        <v>5.80825108579893</v>
      </c>
    </row>
    <row r="6">
      <c r="A6">
        <f t="shared" si="1516"/>
        <v>3</v>
      </c>
      <c r="B6">
        <v>4.9067685983817757</v>
      </c>
      <c r="D6">
        <f t="shared" si="1517"/>
        <v>3</v>
      </c>
      <c r="E6" t="e">
        <f t="shared" si="1505"/>
        <v>#NAME?</v>
      </c>
      <c r="F6" t="e">
        <f t="shared" ref="F6:F9" si="1519">E6-SUMPRODUCT(E4:E5,I$4:I$5)-SUMPRODUCT(F5,J$5)</f>
        <v>#NAME?</v>
      </c>
      <c r="H6" s="17" t="s">
        <v>494</v>
      </c>
      <c r="I6" s="14" t="e">
        <f>Q4</f>
        <v>#NAME?</v>
      </c>
      <c r="J6" s="14" t="e">
        <f>I6/(1-SUM(I4:I5))</f>
        <v>#NAME?</v>
      </c>
      <c r="P6" t="s">
        <v>489</v>
      </c>
      <c r="Q6" t="e">
        <v>#NAME?</v>
      </c>
      <c r="R6" t="e">
        <v>#NAME?</v>
      </c>
      <c r="S6" t="e">
        <f t="shared" si="1506"/>
        <v>#NAME?</v>
      </c>
      <c r="T6" t="e">
        <f t="shared" si="1507"/>
        <v>#NAME?</v>
      </c>
      <c r="V6">
        <f t="shared" si="1508"/>
        <v>3</v>
      </c>
      <c r="W6" t="e">
        <f t="shared" si="1509"/>
        <v>#NAME?</v>
      </c>
      <c r="X6" t="e">
        <f t="shared" si="1510"/>
        <v>#NAME?</v>
      </c>
      <c r="Y6" t="e">
        <f t="shared" si="1511"/>
        <v>#NAME?</v>
      </c>
      <c r="Z6" t="e">
        <f t="shared" si="1512"/>
        <v>#NAME?</v>
      </c>
      <c r="AA6" t="e">
        <f t="shared" si="1513"/>
        <v>#NAME?</v>
      </c>
      <c r="AB6" t="e">
        <f t="shared" si="1514"/>
        <v>#NAME?</v>
      </c>
      <c r="AD6">
        <f t="shared" si="1518"/>
        <v>3</v>
      </c>
      <c r="AE6">
        <f t="shared" si="1515"/>
        <v>4.9067685983817801</v>
      </c>
    </row>
    <row r="7">
      <c r="A7">
        <f t="shared" si="1516"/>
        <v>4</v>
      </c>
      <c r="B7">
        <v>6.1194744822602418</v>
      </c>
      <c r="D7">
        <f t="shared" si="1517"/>
        <v>4</v>
      </c>
      <c r="E7" t="e">
        <f t="shared" si="1505"/>
        <v>#NAME?</v>
      </c>
      <c r="F7" t="e">
        <f t="shared" si="1519"/>
        <v>#NAME?</v>
      </c>
      <c r="L7" t="s">
        <v>495</v>
      </c>
      <c r="P7" s="14" t="s">
        <v>581</v>
      </c>
      <c r="Q7" s="14" t="e">
        <v>#NAME?</v>
      </c>
      <c r="R7" s="14" t="e">
        <v>#NAME?</v>
      </c>
      <c r="S7" s="14" t="e">
        <f t="shared" si="1506"/>
        <v>#NAME?</v>
      </c>
      <c r="T7" s="14" t="e">
        <f t="shared" si="1507"/>
        <v>#NAME?</v>
      </c>
      <c r="V7">
        <f t="shared" si="1508"/>
        <v>4</v>
      </c>
      <c r="W7" t="e">
        <f t="shared" si="1509"/>
        <v>#NAME?</v>
      </c>
      <c r="X7" t="e">
        <f t="shared" si="1510"/>
        <v>#NAME?</v>
      </c>
      <c r="Y7" t="e">
        <f t="shared" si="1511"/>
        <v>#NAME?</v>
      </c>
      <c r="Z7" t="e">
        <f t="shared" si="1512"/>
        <v>#NAME?</v>
      </c>
      <c r="AA7" t="e">
        <f t="shared" si="1513"/>
        <v>#NAME?</v>
      </c>
      <c r="AB7" t="e">
        <f t="shared" si="1514"/>
        <v>#NAME?</v>
      </c>
      <c r="AD7">
        <f t="shared" si="1518"/>
        <v>4</v>
      </c>
      <c r="AE7">
        <f t="shared" si="1515"/>
        <v>6.11947448226024</v>
      </c>
    </row>
    <row r="8">
      <c r="A8">
        <f t="shared" si="1516"/>
        <v>5</v>
      </c>
      <c r="B8">
        <v>8.1353263117657075</v>
      </c>
      <c r="D8">
        <f t="shared" si="1517"/>
        <v>5</v>
      </c>
      <c r="E8" t="e">
        <f>B10-2*B9+B8-J$6</f>
        <v>#NAME?</v>
      </c>
      <c r="F8" t="e">
        <f t="shared" si="1519"/>
        <v>#NAME?</v>
      </c>
      <c r="I8" t="s">
        <v>464</v>
      </c>
      <c r="J8" s="18" t="e">
        <f>SUMSQ(F6:F106)</f>
        <v>#NAME?</v>
      </c>
      <c r="V8">
        <f t="shared" si="1508"/>
        <v>5</v>
      </c>
      <c r="W8" t="e">
        <f t="shared" si="1509"/>
        <v>#NAME?</v>
      </c>
      <c r="X8" t="e">
        <f t="shared" si="1510"/>
        <v>#NAME?</v>
      </c>
      <c r="Y8" t="e">
        <f t="shared" si="1511"/>
        <v>#NAME?</v>
      </c>
      <c r="Z8" t="e">
        <f t="shared" si="1512"/>
        <v>#NAME?</v>
      </c>
      <c r="AA8" t="e">
        <f t="shared" si="1513"/>
        <v>#NAME?</v>
      </c>
      <c r="AB8" t="e">
        <f t="shared" si="1514"/>
        <v>#NAME?</v>
      </c>
      <c r="AD8">
        <f t="shared" si="1518"/>
        <v>5</v>
      </c>
      <c r="AE8">
        <f t="shared" si="1515"/>
        <v>8.1353263117657093</v>
      </c>
    </row>
    <row r="9">
      <c r="A9">
        <f t="shared" si="1516"/>
        <v>6</v>
      </c>
      <c r="B9">
        <v>9.3448674266459744</v>
      </c>
      <c r="D9">
        <f t="shared" si="1517"/>
        <v>6</v>
      </c>
      <c r="E9" t="e">
        <f>B11-2*B10+B9-J$6</f>
        <v>#NAME?</v>
      </c>
      <c r="F9" t="e">
        <f t="shared" si="1519"/>
        <v>#NAME?</v>
      </c>
      <c r="L9" s="24" t="s">
        <v>469</v>
      </c>
      <c r="M9" s="24" t="s">
        <v>470</v>
      </c>
      <c r="N9" s="24" t="s">
        <v>484</v>
      </c>
      <c r="P9" t="e">
        <v>#NAME?</v>
      </c>
      <c r="Q9" t="e">
        <v>#NAME?</v>
      </c>
      <c r="R9" t="e">
        <v>#NAME?</v>
      </c>
      <c r="S9" t="e">
        <v>#NAME?</v>
      </c>
      <c r="T9" t="e">
        <v>#NAME?</v>
      </c>
      <c r="V9">
        <f t="shared" si="1508"/>
        <v>6</v>
      </c>
      <c r="W9" t="e">
        <f t="shared" si="1509"/>
        <v>#NAME?</v>
      </c>
      <c r="X9" t="e">
        <f t="shared" si="1510"/>
        <v>#NAME?</v>
      </c>
      <c r="Y9" t="e">
        <f t="shared" si="1511"/>
        <v>#NAME?</v>
      </c>
      <c r="Z9" t="e">
        <f t="shared" si="1512"/>
        <v>#NAME?</v>
      </c>
      <c r="AA9" t="e">
        <f t="shared" si="1513"/>
        <v>#NAME?</v>
      </c>
      <c r="AB9" t="e">
        <f t="shared" si="1514"/>
        <v>#NAME?</v>
      </c>
      <c r="AD9">
        <f t="shared" si="1518"/>
        <v>6</v>
      </c>
      <c r="AE9">
        <f t="shared" si="1515"/>
        <v>9.3448674266459797</v>
      </c>
    </row>
    <row r="10">
      <c r="A10">
        <f t="shared" si="1516"/>
        <v>7</v>
      </c>
      <c r="B10">
        <v>9.1476506838871607</v>
      </c>
      <c r="D10">
        <f t="shared" si="1517"/>
        <v>7</v>
      </c>
      <c r="E10" t="e">
        <f t="shared" ref="E10:E73" si="1520">B12-2*B11+B10-J$6</f>
        <v>#NAME?</v>
      </c>
      <c r="F10" t="e">
        <f>E10-SUMPRODUCT(E8:E9,I$4:I$5)-SUMPRODUCT(F9,J$5)</f>
        <v>#NAME?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P10" t="e">
        <v>#NAME?</v>
      </c>
      <c r="Q10" s="5" t="e">
        <v>#NAME?</v>
      </c>
      <c r="R10" s="42" t="e">
        <v>#NAME?</v>
      </c>
      <c r="S10" s="42" t="e">
        <v>#NAME?</v>
      </c>
      <c r="T10" s="6" t="e">
        <v>#NAME?</v>
      </c>
      <c r="V10">
        <f t="shared" ref="V10:V73" si="1521">D10</f>
        <v>7</v>
      </c>
      <c r="W10" t="e">
        <f t="shared" ref="W10:W73" si="1522">E10</f>
        <v>#NAME?</v>
      </c>
      <c r="X10" t="e">
        <f t="shared" ref="X10:X73" si="1523">F10</f>
        <v>#NAME?</v>
      </c>
      <c r="Y10" t="e">
        <f t="shared" ref="Y10:Y73" si="1524">W10-X10</f>
        <v>#NAME?</v>
      </c>
      <c r="Z10" t="e">
        <f t="shared" si="1512"/>
        <v>#NAME?</v>
      </c>
      <c r="AA10" t="e">
        <f t="shared" ref="AA10:AA73" si="1525">Y10-NORMSINV(1-Z$2/2)*Z10</f>
        <v>#NAME?</v>
      </c>
      <c r="AB10" t="e">
        <f t="shared" ref="AB10:AB73" si="1526">Y10+NORMSINV(1-Z$2/2)*Z10</f>
        <v>#NAME?</v>
      </c>
      <c r="AD10">
        <f t="shared" si="1518"/>
        <v>7</v>
      </c>
      <c r="AE10">
        <f t="shared" ref="AE10:AE73" si="1527">B10</f>
        <v>9.1476506838871607</v>
      </c>
    </row>
    <row r="11">
      <c r="A11">
        <f t="shared" ref="A11:A74" si="1528">A10+1</f>
        <v>8</v>
      </c>
      <c r="B11">
        <v>8.101493281302977</v>
      </c>
      <c r="D11">
        <f t="shared" ref="D11:D74" si="1529">D10+1</f>
        <v>8</v>
      </c>
      <c r="E11" t="e">
        <f t="shared" si="1520"/>
        <v>#NAME?</v>
      </c>
      <c r="F11" t="e">
        <f>E11-SUMPRODUCT(E9:E10,I$4:I$5)-SUMPRODUCT(F10,J$5)</f>
        <v>#NAME?</v>
      </c>
      <c r="I11" t="s">
        <v>498</v>
      </c>
      <c r="J11" s="10">
        <v>1</v>
      </c>
      <c r="P11" t="e">
        <v>#NAME?</v>
      </c>
      <c r="Q11" s="8" t="e">
        <v>#NAME?</v>
      </c>
      <c r="R11" t="e">
        <v>#NAME?</v>
      </c>
      <c r="S11" t="e">
        <v>#NAME?</v>
      </c>
      <c r="T11" s="9" t="e">
        <v>#NAME?</v>
      </c>
      <c r="V11">
        <f t="shared" si="1521"/>
        <v>8</v>
      </c>
      <c r="W11" t="e">
        <f t="shared" si="1522"/>
        <v>#NAME?</v>
      </c>
      <c r="X11" t="e">
        <f t="shared" si="1523"/>
        <v>#NAME?</v>
      </c>
      <c r="Y11" t="e">
        <f t="shared" si="1524"/>
        <v>#NAME?</v>
      </c>
      <c r="Z11" t="e">
        <f t="shared" si="1512"/>
        <v>#NAME?</v>
      </c>
      <c r="AA11" t="e">
        <f t="shared" si="1525"/>
        <v>#NAME?</v>
      </c>
      <c r="AB11" t="e">
        <f t="shared" si="1526"/>
        <v>#NAME?</v>
      </c>
      <c r="AD11">
        <f t="shared" ref="AD11:AD74" si="1530">AD10+1</f>
        <v>8</v>
      </c>
      <c r="AE11">
        <f t="shared" si="1527"/>
        <v>8.1014932813029805</v>
      </c>
    </row>
    <row r="12">
      <c r="A12">
        <f t="shared" si="1528"/>
        <v>9</v>
      </c>
      <c r="B12">
        <v>10.146419029172929</v>
      </c>
      <c r="D12">
        <f t="shared" si="1529"/>
        <v>9</v>
      </c>
      <c r="E12" t="e">
        <f t="shared" si="1520"/>
        <v>#NAME?</v>
      </c>
      <c r="F12" t="e">
        <f t="shared" ref="F12:F75" si="1531">E12-SUMPRODUCT(E10:E11,I$4:I$5)-SUMPRODUCT(F11,J$5)</f>
        <v>#NAME?</v>
      </c>
      <c r="I12" t="s">
        <v>181</v>
      </c>
      <c r="J12" s="10">
        <v>2</v>
      </c>
      <c r="L12" t="s">
        <v>499</v>
      </c>
      <c r="P12" t="e">
        <v>#NAME?</v>
      </c>
      <c r="Q12" s="8" t="e">
        <v>#NAME?</v>
      </c>
      <c r="R12" t="e">
        <v>#NAME?</v>
      </c>
      <c r="S12" t="e">
        <v>#NAME?</v>
      </c>
      <c r="T12" s="9" t="e">
        <v>#NAME?</v>
      </c>
      <c r="V12">
        <f t="shared" si="1521"/>
        <v>9</v>
      </c>
      <c r="W12" t="e">
        <f t="shared" si="1522"/>
        <v>#NAME?</v>
      </c>
      <c r="X12" t="e">
        <f t="shared" si="1523"/>
        <v>#NAME?</v>
      </c>
      <c r="Y12" t="e">
        <f t="shared" si="1524"/>
        <v>#NAME?</v>
      </c>
      <c r="Z12" t="e">
        <f t="shared" si="1512"/>
        <v>#NAME?</v>
      </c>
      <c r="AA12" t="e">
        <f t="shared" si="1525"/>
        <v>#NAME?</v>
      </c>
      <c r="AB12" t="e">
        <f t="shared" si="1526"/>
        <v>#NAME?</v>
      </c>
      <c r="AD12">
        <f t="shared" si="1530"/>
        <v>9</v>
      </c>
      <c r="AE12">
        <f t="shared" si="1527"/>
        <v>10.1464190291729</v>
      </c>
    </row>
    <row r="13">
      <c r="A13">
        <f t="shared" si="1528"/>
        <v>10</v>
      </c>
      <c r="B13">
        <v>11.045196349004179</v>
      </c>
      <c r="D13">
        <f t="shared" si="1529"/>
        <v>10</v>
      </c>
      <c r="E13" t="e">
        <f t="shared" si="1520"/>
        <v>#NAME?</v>
      </c>
      <c r="F13" t="e">
        <f t="shared" si="1531"/>
        <v>#NAME?</v>
      </c>
      <c r="I13" t="s">
        <v>500</v>
      </c>
      <c r="J13" s="10" t="e">
        <f>AVERAGE(F6:F106)</f>
        <v>#NAME?</v>
      </c>
      <c r="P13" t="e">
        <v>#NAME?</v>
      </c>
      <c r="Q13" s="11" t="e">
        <v>#NAME?</v>
      </c>
      <c r="R13" s="14" t="e">
        <v>#NAME?</v>
      </c>
      <c r="S13" s="14" t="e">
        <v>#NAME?</v>
      </c>
      <c r="T13" s="12" t="e">
        <v>#NAME?</v>
      </c>
      <c r="V13">
        <f t="shared" si="1521"/>
        <v>10</v>
      </c>
      <c r="W13" t="e">
        <f t="shared" si="1522"/>
        <v>#NAME?</v>
      </c>
      <c r="X13" t="e">
        <f t="shared" si="1523"/>
        <v>#NAME?</v>
      </c>
      <c r="Y13" t="e">
        <f t="shared" si="1524"/>
        <v>#NAME?</v>
      </c>
      <c r="Z13" t="e">
        <f t="shared" si="1512"/>
        <v>#NAME?</v>
      </c>
      <c r="AA13" t="e">
        <f t="shared" si="1525"/>
        <v>#NAME?</v>
      </c>
      <c r="AB13" t="e">
        <f t="shared" si="1526"/>
        <v>#NAME?</v>
      </c>
      <c r="AD13">
        <f t="shared" si="1530"/>
        <v>10</v>
      </c>
      <c r="AE13">
        <f t="shared" si="1527"/>
        <v>11.0451963490042</v>
      </c>
    </row>
    <row r="14">
      <c r="A14">
        <f t="shared" si="1528"/>
        <v>11</v>
      </c>
      <c r="B14">
        <v>10.122578080182986</v>
      </c>
      <c r="D14">
        <f t="shared" si="1529"/>
        <v>11</v>
      </c>
      <c r="E14" t="e">
        <f t="shared" si="1520"/>
        <v>#NAME?</v>
      </c>
      <c r="F14" t="e">
        <f t="shared" si="1531"/>
        <v>#NAME?</v>
      </c>
      <c r="I14" t="s">
        <v>502</v>
      </c>
      <c r="J14" s="10" t="e">
        <f>STDEV(F6:F106)</f>
        <v>#NAME?</v>
      </c>
      <c r="L14" s="24" t="s">
        <v>481</v>
      </c>
      <c r="M14" s="24" t="s">
        <v>501</v>
      </c>
      <c r="V14">
        <f t="shared" si="1521"/>
        <v>11</v>
      </c>
      <c r="W14" t="e">
        <f t="shared" si="1522"/>
        <v>#NAME?</v>
      </c>
      <c r="X14" t="e">
        <f t="shared" si="1523"/>
        <v>#NAME?</v>
      </c>
      <c r="Y14" t="e">
        <f t="shared" si="1524"/>
        <v>#NAME?</v>
      </c>
      <c r="Z14" t="e">
        <f t="shared" si="1512"/>
        <v>#NAME?</v>
      </c>
      <c r="AA14" t="e">
        <f t="shared" si="1525"/>
        <v>#NAME?</v>
      </c>
      <c r="AB14" t="e">
        <f t="shared" si="1526"/>
        <v>#NAME?</v>
      </c>
      <c r="AD14">
        <f t="shared" si="1530"/>
        <v>11</v>
      </c>
      <c r="AE14">
        <f t="shared" si="1527"/>
        <v>10.122578080183001</v>
      </c>
    </row>
    <row r="15">
      <c r="A15">
        <f t="shared" si="1528"/>
        <v>12</v>
      </c>
      <c r="B15">
        <v>10.173602244452049</v>
      </c>
      <c r="D15">
        <f t="shared" si="1529"/>
        <v>12</v>
      </c>
      <c r="E15" t="e">
        <f t="shared" si="1520"/>
        <v>#NAME?</v>
      </c>
      <c r="F15" t="e">
        <f t="shared" si="1531"/>
        <v>#NAME?</v>
      </c>
      <c r="I15" t="s">
        <v>503</v>
      </c>
      <c r="J15" s="10" t="e">
        <f>SQRT(J8/J18)</f>
        <v>#NAME?</v>
      </c>
      <c r="L15" s="42">
        <v>0</v>
      </c>
      <c r="M15" s="42" t="e">
        <v>#NAME?</v>
      </c>
      <c r="P15" t="e">
        <v>#NAME?</v>
      </c>
      <c r="Q15" s="7" t="e">
        <v>#NAME?</v>
      </c>
      <c r="V15">
        <f t="shared" si="1521"/>
        <v>12</v>
      </c>
      <c r="W15" t="e">
        <f t="shared" si="1522"/>
        <v>#NAME?</v>
      </c>
      <c r="X15" t="e">
        <f t="shared" si="1523"/>
        <v>#NAME?</v>
      </c>
      <c r="Y15" t="e">
        <f t="shared" si="1524"/>
        <v>#NAME?</v>
      </c>
      <c r="Z15" t="e">
        <f t="shared" si="1512"/>
        <v>#NAME?</v>
      </c>
      <c r="AA15" t="e">
        <f t="shared" si="1525"/>
        <v>#NAME?</v>
      </c>
      <c r="AB15" t="e">
        <f t="shared" si="1526"/>
        <v>#NAME?</v>
      </c>
      <c r="AD15">
        <f t="shared" si="1530"/>
        <v>12</v>
      </c>
      <c r="AE15">
        <f t="shared" si="1527"/>
        <v>10.1736022444521</v>
      </c>
    </row>
    <row r="16">
      <c r="A16">
        <f t="shared" si="1528"/>
        <v>13</v>
      </c>
      <c r="B16">
        <v>10.821309800892813</v>
      </c>
      <c r="D16">
        <f t="shared" si="1529"/>
        <v>13</v>
      </c>
      <c r="E16" t="e">
        <f t="shared" si="1520"/>
        <v>#NAME?</v>
      </c>
      <c r="F16" t="e">
        <f t="shared" si="1531"/>
        <v>#NAME?</v>
      </c>
      <c r="I16" t="s">
        <v>504</v>
      </c>
      <c r="J16" s="10" t="e">
        <f>AVERAGE(E6:E106)</f>
        <v>#NAME?</v>
      </c>
      <c r="L16">
        <f t="shared" ref="L16:L19" si="1532">L15+1</f>
        <v>1</v>
      </c>
      <c r="M16" t="e">
        <v>#NAME?</v>
      </c>
      <c r="P16" t="e">
        <v>#NAME?</v>
      </c>
      <c r="Q16" s="10" t="e">
        <v>#NAME?</v>
      </c>
      <c r="V16">
        <f t="shared" si="1521"/>
        <v>13</v>
      </c>
      <c r="W16" t="e">
        <f t="shared" si="1522"/>
        <v>#NAME?</v>
      </c>
      <c r="X16" t="e">
        <f t="shared" si="1523"/>
        <v>#NAME?</v>
      </c>
      <c r="Y16" t="e">
        <f t="shared" si="1524"/>
        <v>#NAME?</v>
      </c>
      <c r="Z16" t="e">
        <f t="shared" si="1512"/>
        <v>#NAME?</v>
      </c>
      <c r="AA16" t="e">
        <f t="shared" si="1525"/>
        <v>#NAME?</v>
      </c>
      <c r="AB16" t="e">
        <f t="shared" si="1526"/>
        <v>#NAME?</v>
      </c>
      <c r="AD16">
        <f t="shared" si="1530"/>
        <v>13</v>
      </c>
      <c r="AE16">
        <f t="shared" si="1527"/>
        <v>10.8213098008928</v>
      </c>
    </row>
    <row r="17">
      <c r="A17">
        <f t="shared" si="1528"/>
        <v>14</v>
      </c>
      <c r="B17">
        <v>10.084063249573955</v>
      </c>
      <c r="D17">
        <f t="shared" si="1529"/>
        <v>14</v>
      </c>
      <c r="E17" t="e">
        <f t="shared" si="1520"/>
        <v>#NAME?</v>
      </c>
      <c r="F17" t="e">
        <f t="shared" si="1531"/>
        <v>#NAME?</v>
      </c>
      <c r="I17" t="s">
        <v>505</v>
      </c>
      <c r="J17" s="10" t="e">
        <f>STDEV(E6:E106)</f>
        <v>#NAME?</v>
      </c>
      <c r="L17">
        <f t="shared" si="1532"/>
        <v>2</v>
      </c>
      <c r="M17" t="e">
        <v>#NAME?</v>
      </c>
      <c r="P17" t="e">
        <v>#NAME?</v>
      </c>
      <c r="Q17" s="10" t="e">
        <v>#NAME?</v>
      </c>
      <c r="V17">
        <f t="shared" si="1521"/>
        <v>14</v>
      </c>
      <c r="W17" t="e">
        <f t="shared" si="1522"/>
        <v>#NAME?</v>
      </c>
      <c r="X17" t="e">
        <f t="shared" si="1523"/>
        <v>#NAME?</v>
      </c>
      <c r="Y17" t="e">
        <f t="shared" si="1524"/>
        <v>#NAME?</v>
      </c>
      <c r="Z17" t="e">
        <f t="shared" si="1512"/>
        <v>#NAME?</v>
      </c>
      <c r="AA17" t="e">
        <f t="shared" si="1525"/>
        <v>#NAME?</v>
      </c>
      <c r="AB17" t="e">
        <f t="shared" si="1526"/>
        <v>#NAME?</v>
      </c>
      <c r="AD17">
        <f t="shared" si="1530"/>
        <v>14</v>
      </c>
      <c r="AE17">
        <f t="shared" si="1527"/>
        <v>10.084063249573999</v>
      </c>
    </row>
    <row r="18">
      <c r="A18">
        <f t="shared" si="1528"/>
        <v>15</v>
      </c>
      <c r="B18">
        <v>10.346054055555475</v>
      </c>
      <c r="D18">
        <f t="shared" si="1529"/>
        <v>15</v>
      </c>
      <c r="E18" t="e">
        <f t="shared" si="1520"/>
        <v>#NAME?</v>
      </c>
      <c r="F18" t="e">
        <f t="shared" si="1531"/>
        <v>#NAME?</v>
      </c>
      <c r="I18" t="s">
        <v>506</v>
      </c>
      <c r="J18" s="13">
        <f>COUNT(E6:E106)</f>
        <v>0</v>
      </c>
      <c r="L18">
        <f t="shared" si="1532"/>
        <v>3</v>
      </c>
      <c r="M18" t="e">
        <v>#NAME?</v>
      </c>
      <c r="P18" t="e">
        <v>#NAME?</v>
      </c>
      <c r="Q18" s="10" t="e">
        <v>#NAME?</v>
      </c>
      <c r="V18">
        <f t="shared" si="1521"/>
        <v>15</v>
      </c>
      <c r="W18" t="e">
        <f t="shared" si="1522"/>
        <v>#NAME?</v>
      </c>
      <c r="X18" t="e">
        <f t="shared" si="1523"/>
        <v>#NAME?</v>
      </c>
      <c r="Y18" t="e">
        <f t="shared" si="1524"/>
        <v>#NAME?</v>
      </c>
      <c r="Z18" t="e">
        <f t="shared" si="1512"/>
        <v>#NAME?</v>
      </c>
      <c r="AA18" t="e">
        <f t="shared" si="1525"/>
        <v>#NAME?</v>
      </c>
      <c r="AB18" t="e">
        <f t="shared" si="1526"/>
        <v>#NAME?</v>
      </c>
      <c r="AD18">
        <f t="shared" si="1530"/>
        <v>15</v>
      </c>
      <c r="AE18">
        <f t="shared" si="1527"/>
        <v>10.3460540555555</v>
      </c>
    </row>
    <row r="19">
      <c r="A19">
        <f t="shared" si="1528"/>
        <v>16</v>
      </c>
      <c r="B19">
        <v>9.6922029393025948</v>
      </c>
      <c r="D19">
        <f t="shared" si="1529"/>
        <v>16</v>
      </c>
      <c r="E19" t="e">
        <f t="shared" si="1520"/>
        <v>#NAME?</v>
      </c>
      <c r="F19" t="e">
        <f t="shared" si="1531"/>
        <v>#NAME?</v>
      </c>
      <c r="L19" s="14">
        <f t="shared" si="1532"/>
        <v>4</v>
      </c>
      <c r="M19" s="14" t="e">
        <v>#NAME?</v>
      </c>
      <c r="P19" t="e">
        <v>#NAME?</v>
      </c>
      <c r="Q19" s="10" t="e">
        <v>#NAME?</v>
      </c>
      <c r="V19">
        <f t="shared" si="1521"/>
        <v>16</v>
      </c>
      <c r="W19" t="e">
        <f t="shared" si="1522"/>
        <v>#NAME?</v>
      </c>
      <c r="X19" t="e">
        <f t="shared" si="1523"/>
        <v>#NAME?</v>
      </c>
      <c r="Y19" t="e">
        <f t="shared" si="1524"/>
        <v>#NAME?</v>
      </c>
      <c r="Z19" t="e">
        <f t="shared" si="1512"/>
        <v>#NAME?</v>
      </c>
      <c r="AA19" t="e">
        <f t="shared" si="1525"/>
        <v>#NAME?</v>
      </c>
      <c r="AB19" t="e">
        <f t="shared" si="1526"/>
        <v>#NAME?</v>
      </c>
      <c r="AD19">
        <f t="shared" si="1530"/>
        <v>16</v>
      </c>
      <c r="AE19">
        <f t="shared" si="1527"/>
        <v>9.6922029393026001</v>
      </c>
    </row>
    <row r="20">
      <c r="A20">
        <f t="shared" si="1528"/>
        <v>17</v>
      </c>
      <c r="B20">
        <v>11.205574770625869</v>
      </c>
      <c r="D20">
        <f t="shared" si="1529"/>
        <v>17</v>
      </c>
      <c r="E20" t="e">
        <f t="shared" si="1520"/>
        <v>#NAME?</v>
      </c>
      <c r="F20" t="e">
        <f t="shared" si="1531"/>
        <v>#NAME?</v>
      </c>
      <c r="I20" t="s">
        <v>507</v>
      </c>
      <c r="J20" s="7" t="e">
        <f>-(J23-2*(J10+J11+2))/2</f>
        <v>#NAME?</v>
      </c>
      <c r="P20" t="e">
        <v>#NAME?</v>
      </c>
      <c r="Q20" s="10" t="e">
        <v>#NAME?</v>
      </c>
      <c r="V20">
        <f t="shared" si="1521"/>
        <v>17</v>
      </c>
      <c r="W20" t="e">
        <f t="shared" si="1522"/>
        <v>#NAME?</v>
      </c>
      <c r="X20" t="e">
        <f t="shared" si="1523"/>
        <v>#NAME?</v>
      </c>
      <c r="Y20" t="e">
        <f t="shared" si="1524"/>
        <v>#NAME?</v>
      </c>
      <c r="Z20" t="e">
        <f t="shared" si="1512"/>
        <v>#NAME?</v>
      </c>
      <c r="AA20" t="e">
        <f t="shared" si="1525"/>
        <v>#NAME?</v>
      </c>
      <c r="AB20" t="e">
        <f t="shared" si="1526"/>
        <v>#NAME?</v>
      </c>
      <c r="AD20">
        <f t="shared" si="1530"/>
        <v>17</v>
      </c>
      <c r="AE20">
        <f t="shared" si="1527"/>
        <v>11.205574770625899</v>
      </c>
    </row>
    <row r="21">
      <c r="A21">
        <f t="shared" si="1528"/>
        <v>18</v>
      </c>
      <c r="B21">
        <v>12.652116416514845</v>
      </c>
      <c r="D21">
        <f t="shared" si="1529"/>
        <v>18</v>
      </c>
      <c r="E21" t="e">
        <f t="shared" si="1520"/>
        <v>#NAME?</v>
      </c>
      <c r="F21" t="e">
        <f t="shared" si="1531"/>
        <v>#NAME?</v>
      </c>
      <c r="I21" t="s">
        <v>374</v>
      </c>
      <c r="J21" s="10" t="e">
        <f>J18*LN(J8/J18)+2*(J10+J11+2)</f>
        <v>#NAME?</v>
      </c>
      <c r="P21" t="e">
        <v>#NAME?</v>
      </c>
      <c r="Q21" s="13" t="e">
        <v>#NAME?</v>
      </c>
      <c r="V21">
        <f t="shared" si="1521"/>
        <v>18</v>
      </c>
      <c r="W21" t="e">
        <f t="shared" si="1522"/>
        <v>#NAME?</v>
      </c>
      <c r="X21" t="e">
        <f t="shared" si="1523"/>
        <v>#NAME?</v>
      </c>
      <c r="Y21" t="e">
        <f t="shared" si="1524"/>
        <v>#NAME?</v>
      </c>
      <c r="Z21" t="e">
        <f t="shared" si="1512"/>
        <v>#NAME?</v>
      </c>
      <c r="AA21" t="e">
        <f t="shared" si="1525"/>
        <v>#NAME?</v>
      </c>
      <c r="AB21" t="e">
        <f t="shared" si="1526"/>
        <v>#NAME?</v>
      </c>
      <c r="AD21">
        <f t="shared" si="1530"/>
        <v>18</v>
      </c>
      <c r="AE21">
        <f t="shared" si="1527"/>
        <v>12.652116416514801</v>
      </c>
    </row>
    <row r="22">
      <c r="A22">
        <f t="shared" si="1528"/>
        <v>19</v>
      </c>
      <c r="B22">
        <v>13.406329168635398</v>
      </c>
      <c r="D22">
        <f t="shared" si="1529"/>
        <v>19</v>
      </c>
      <c r="E22" t="e">
        <f t="shared" si="1520"/>
        <v>#NAME?</v>
      </c>
      <c r="F22" t="e">
        <f t="shared" si="1531"/>
        <v>#NAME?</v>
      </c>
      <c r="I22" t="s">
        <v>508</v>
      </c>
      <c r="J22" s="10" t="e">
        <f>J18*LN(J8/J18)+LN(J18)*(J10+J11+2)</f>
        <v>#NAME?</v>
      </c>
      <c r="V22">
        <f t="shared" si="1521"/>
        <v>19</v>
      </c>
      <c r="W22" t="e">
        <f t="shared" si="1522"/>
        <v>#NAME?</v>
      </c>
      <c r="X22" t="e">
        <f t="shared" si="1523"/>
        <v>#NAME?</v>
      </c>
      <c r="Y22" t="e">
        <f t="shared" si="1524"/>
        <v>#NAME?</v>
      </c>
      <c r="Z22" t="e">
        <f t="shared" si="1512"/>
        <v>#NAME?</v>
      </c>
      <c r="AA22" t="e">
        <f t="shared" si="1525"/>
        <v>#NAME?</v>
      </c>
      <c r="AB22" t="e">
        <f t="shared" si="1526"/>
        <v>#NAME?</v>
      </c>
      <c r="AD22">
        <f t="shared" si="1530"/>
        <v>19</v>
      </c>
      <c r="AE22">
        <f t="shared" si="1527"/>
        <v>13.4063291686354</v>
      </c>
    </row>
    <row r="23">
      <c r="A23">
        <f t="shared" si="1528"/>
        <v>20</v>
      </c>
      <c r="B23">
        <v>12.231217930183975</v>
      </c>
      <c r="D23">
        <f t="shared" si="1529"/>
        <v>20</v>
      </c>
      <c r="E23" t="e">
        <f t="shared" si="1520"/>
        <v>#NAME?</v>
      </c>
      <c r="F23" t="e">
        <f t="shared" si="1531"/>
        <v>#NAME?</v>
      </c>
      <c r="I23" t="s">
        <v>509</v>
      </c>
      <c r="J23" s="10" t="e">
        <f>J18*(1+LN(2*PI()))+J21</f>
        <v>#NAME?</v>
      </c>
      <c r="V23">
        <f t="shared" si="1521"/>
        <v>20</v>
      </c>
      <c r="W23" t="e">
        <f t="shared" si="1522"/>
        <v>#NAME?</v>
      </c>
      <c r="X23" t="e">
        <f t="shared" si="1523"/>
        <v>#NAME?</v>
      </c>
      <c r="Y23" t="e">
        <f t="shared" si="1524"/>
        <v>#NAME?</v>
      </c>
      <c r="Z23" t="e">
        <f t="shared" si="1512"/>
        <v>#NAME?</v>
      </c>
      <c r="AA23" t="e">
        <f t="shared" si="1525"/>
        <v>#NAME?</v>
      </c>
      <c r="AB23" t="e">
        <f t="shared" si="1526"/>
        <v>#NAME?</v>
      </c>
      <c r="AD23">
        <f t="shared" si="1530"/>
        <v>20</v>
      </c>
      <c r="AE23">
        <f t="shared" si="1527"/>
        <v>12.231217930184</v>
      </c>
    </row>
    <row r="24">
      <c r="A24">
        <f t="shared" si="1528"/>
        <v>21</v>
      </c>
      <c r="B24">
        <v>12.116974455959236</v>
      </c>
      <c r="D24">
        <f t="shared" si="1529"/>
        <v>21</v>
      </c>
      <c r="E24" t="e">
        <f t="shared" si="1520"/>
        <v>#NAME?</v>
      </c>
      <c r="F24" t="e">
        <f t="shared" si="1531"/>
        <v>#NAME?</v>
      </c>
      <c r="I24" t="s">
        <v>510</v>
      </c>
      <c r="J24" s="13" t="e">
        <f>J18*(1+LN(2*PI()))+J22</f>
        <v>#NAME?</v>
      </c>
      <c r="V24">
        <f t="shared" si="1521"/>
        <v>21</v>
      </c>
      <c r="W24" t="e">
        <f t="shared" si="1522"/>
        <v>#NAME?</v>
      </c>
      <c r="X24" t="e">
        <f t="shared" si="1523"/>
        <v>#NAME?</v>
      </c>
      <c r="Y24" t="e">
        <f t="shared" si="1524"/>
        <v>#NAME?</v>
      </c>
      <c r="Z24" t="e">
        <f t="shared" si="1512"/>
        <v>#NAME?</v>
      </c>
      <c r="AA24" t="e">
        <f t="shared" si="1525"/>
        <v>#NAME?</v>
      </c>
      <c r="AB24" t="e">
        <f t="shared" si="1526"/>
        <v>#NAME?</v>
      </c>
      <c r="AD24">
        <f t="shared" si="1530"/>
        <v>21</v>
      </c>
      <c r="AE24">
        <f t="shared" si="1527"/>
        <v>12.1169744559592</v>
      </c>
    </row>
    <row r="25">
      <c r="A25">
        <f t="shared" si="1528"/>
        <v>22</v>
      </c>
      <c r="B25">
        <v>10.45988889436091</v>
      </c>
      <c r="D25">
        <f t="shared" si="1529"/>
        <v>22</v>
      </c>
      <c r="E25" t="e">
        <f t="shared" si="1520"/>
        <v>#NAME?</v>
      </c>
      <c r="F25" t="e">
        <f t="shared" si="1531"/>
        <v>#NAME?</v>
      </c>
      <c r="V25">
        <f t="shared" si="1521"/>
        <v>22</v>
      </c>
      <c r="W25" t="e">
        <f t="shared" si="1522"/>
        <v>#NAME?</v>
      </c>
      <c r="X25" t="e">
        <f t="shared" si="1523"/>
        <v>#NAME?</v>
      </c>
      <c r="Y25" t="e">
        <f t="shared" si="1524"/>
        <v>#NAME?</v>
      </c>
      <c r="Z25" t="e">
        <f t="shared" si="1512"/>
        <v>#NAME?</v>
      </c>
      <c r="AA25" t="e">
        <f t="shared" si="1525"/>
        <v>#NAME?</v>
      </c>
      <c r="AB25" t="e">
        <f t="shared" si="1526"/>
        <v>#NAME?</v>
      </c>
      <c r="AD25">
        <f t="shared" si="1530"/>
        <v>22</v>
      </c>
      <c r="AE25">
        <f t="shared" si="1527"/>
        <v>10.459888894360899</v>
      </c>
    </row>
    <row r="26">
      <c r="A26">
        <f t="shared" si="1528"/>
        <v>23</v>
      </c>
      <c r="B26">
        <v>9.4464576710812267</v>
      </c>
      <c r="D26">
        <f t="shared" si="1529"/>
        <v>23</v>
      </c>
      <c r="E26" t="e">
        <f t="shared" si="1520"/>
        <v>#NAME?</v>
      </c>
      <c r="F26" t="e">
        <f t="shared" si="1531"/>
        <v>#NAME?</v>
      </c>
      <c r="V26">
        <f t="shared" si="1521"/>
        <v>23</v>
      </c>
      <c r="W26" t="e">
        <f t="shared" si="1522"/>
        <v>#NAME?</v>
      </c>
      <c r="X26" t="e">
        <f t="shared" si="1523"/>
        <v>#NAME?</v>
      </c>
      <c r="Y26" t="e">
        <f t="shared" si="1524"/>
        <v>#NAME?</v>
      </c>
      <c r="Z26" t="e">
        <f t="shared" si="1512"/>
        <v>#NAME?</v>
      </c>
      <c r="AA26" t="e">
        <f t="shared" si="1525"/>
        <v>#NAME?</v>
      </c>
      <c r="AB26" t="e">
        <f t="shared" si="1526"/>
        <v>#NAME?</v>
      </c>
      <c r="AD26">
        <f t="shared" si="1530"/>
        <v>23</v>
      </c>
      <c r="AE26">
        <f t="shared" si="1527"/>
        <v>9.4464576710812302</v>
      </c>
    </row>
    <row r="27">
      <c r="A27">
        <f t="shared" si="1528"/>
        <v>24</v>
      </c>
      <c r="B27">
        <v>11.181030434794319</v>
      </c>
      <c r="D27">
        <f t="shared" si="1529"/>
        <v>24</v>
      </c>
      <c r="E27" t="e">
        <f t="shared" si="1520"/>
        <v>#NAME?</v>
      </c>
      <c r="F27" t="e">
        <f t="shared" si="1531"/>
        <v>#NAME?</v>
      </c>
      <c r="V27">
        <f t="shared" si="1521"/>
        <v>24</v>
      </c>
      <c r="W27" t="e">
        <f t="shared" si="1522"/>
        <v>#NAME?</v>
      </c>
      <c r="X27" t="e">
        <f t="shared" si="1523"/>
        <v>#NAME?</v>
      </c>
      <c r="Y27" t="e">
        <f t="shared" si="1524"/>
        <v>#NAME?</v>
      </c>
      <c r="Z27" t="e">
        <f t="shared" si="1512"/>
        <v>#NAME?</v>
      </c>
      <c r="AA27" t="e">
        <f t="shared" si="1525"/>
        <v>#NAME?</v>
      </c>
      <c r="AB27" t="e">
        <f t="shared" si="1526"/>
        <v>#NAME?</v>
      </c>
      <c r="AD27">
        <f t="shared" si="1530"/>
        <v>24</v>
      </c>
      <c r="AE27">
        <f t="shared" si="1527"/>
        <v>11.1810304347943</v>
      </c>
    </row>
    <row r="28">
      <c r="A28">
        <f t="shared" si="1528"/>
        <v>25</v>
      </c>
      <c r="B28">
        <v>7.5853602163456753</v>
      </c>
      <c r="D28">
        <f t="shared" si="1529"/>
        <v>25</v>
      </c>
      <c r="E28" t="e">
        <f t="shared" si="1520"/>
        <v>#NAME?</v>
      </c>
      <c r="F28" t="e">
        <f t="shared" si="1531"/>
        <v>#NAME?</v>
      </c>
      <c r="V28">
        <f t="shared" si="1521"/>
        <v>25</v>
      </c>
      <c r="W28" t="e">
        <f t="shared" si="1522"/>
        <v>#NAME?</v>
      </c>
      <c r="X28" t="e">
        <f t="shared" si="1523"/>
        <v>#NAME?</v>
      </c>
      <c r="Y28" t="e">
        <f t="shared" si="1524"/>
        <v>#NAME?</v>
      </c>
      <c r="Z28" t="e">
        <f t="shared" si="1512"/>
        <v>#NAME?</v>
      </c>
      <c r="AA28" t="e">
        <f t="shared" si="1525"/>
        <v>#NAME?</v>
      </c>
      <c r="AB28" t="e">
        <f t="shared" si="1526"/>
        <v>#NAME?</v>
      </c>
      <c r="AD28">
        <f t="shared" si="1530"/>
        <v>25</v>
      </c>
      <c r="AE28">
        <f t="shared" si="1527"/>
        <v>7.5853602163456797</v>
      </c>
    </row>
    <row r="29">
      <c r="A29">
        <f t="shared" si="1528"/>
        <v>26</v>
      </c>
      <c r="B29">
        <v>10.978531861411668</v>
      </c>
      <c r="D29">
        <f t="shared" si="1529"/>
        <v>26</v>
      </c>
      <c r="E29" t="e">
        <f t="shared" si="1520"/>
        <v>#NAME?</v>
      </c>
      <c r="F29" t="e">
        <f t="shared" si="1531"/>
        <v>#NAME?</v>
      </c>
      <c r="V29">
        <f t="shared" si="1521"/>
        <v>26</v>
      </c>
      <c r="W29" t="e">
        <f t="shared" si="1522"/>
        <v>#NAME?</v>
      </c>
      <c r="X29" t="e">
        <f t="shared" si="1523"/>
        <v>#NAME?</v>
      </c>
      <c r="Y29" t="e">
        <f t="shared" si="1524"/>
        <v>#NAME?</v>
      </c>
      <c r="Z29" t="e">
        <f t="shared" si="1512"/>
        <v>#NAME?</v>
      </c>
      <c r="AA29" t="e">
        <f t="shared" si="1525"/>
        <v>#NAME?</v>
      </c>
      <c r="AB29" t="e">
        <f t="shared" si="1526"/>
        <v>#NAME?</v>
      </c>
      <c r="AD29">
        <f t="shared" si="1530"/>
        <v>26</v>
      </c>
      <c r="AE29">
        <f t="shared" si="1527"/>
        <v>10.9785318614117</v>
      </c>
    </row>
    <row r="30">
      <c r="A30">
        <f t="shared" si="1528"/>
        <v>27</v>
      </c>
      <c r="B30">
        <v>10.550225208625736</v>
      </c>
      <c r="D30">
        <f t="shared" si="1529"/>
        <v>27</v>
      </c>
      <c r="E30" t="e">
        <f t="shared" si="1520"/>
        <v>#NAME?</v>
      </c>
      <c r="F30" t="e">
        <f t="shared" si="1531"/>
        <v>#NAME?</v>
      </c>
      <c r="V30">
        <f t="shared" si="1521"/>
        <v>27</v>
      </c>
      <c r="W30" t="e">
        <f t="shared" si="1522"/>
        <v>#NAME?</v>
      </c>
      <c r="X30" t="e">
        <f t="shared" si="1523"/>
        <v>#NAME?</v>
      </c>
      <c r="Y30" t="e">
        <f t="shared" si="1524"/>
        <v>#NAME?</v>
      </c>
      <c r="Z30" t="e">
        <f t="shared" si="1512"/>
        <v>#NAME?</v>
      </c>
      <c r="AA30" t="e">
        <f t="shared" si="1525"/>
        <v>#NAME?</v>
      </c>
      <c r="AB30" t="e">
        <f t="shared" si="1526"/>
        <v>#NAME?</v>
      </c>
      <c r="AD30">
        <f t="shared" si="1530"/>
        <v>27</v>
      </c>
      <c r="AE30">
        <f t="shared" si="1527"/>
        <v>10.550225208625699</v>
      </c>
    </row>
    <row r="31">
      <c r="A31">
        <f t="shared" si="1528"/>
        <v>28</v>
      </c>
      <c r="B31">
        <v>11.227461431044995</v>
      </c>
      <c r="D31">
        <f t="shared" si="1529"/>
        <v>28</v>
      </c>
      <c r="E31" t="e">
        <f t="shared" si="1520"/>
        <v>#NAME?</v>
      </c>
      <c r="F31" t="e">
        <f t="shared" si="1531"/>
        <v>#NAME?</v>
      </c>
      <c r="V31">
        <f t="shared" si="1521"/>
        <v>28</v>
      </c>
      <c r="W31" t="e">
        <f t="shared" si="1522"/>
        <v>#NAME?</v>
      </c>
      <c r="X31" t="e">
        <f t="shared" si="1523"/>
        <v>#NAME?</v>
      </c>
      <c r="Y31" t="e">
        <f t="shared" si="1524"/>
        <v>#NAME?</v>
      </c>
      <c r="Z31" t="e">
        <f t="shared" si="1512"/>
        <v>#NAME?</v>
      </c>
      <c r="AA31" t="e">
        <f t="shared" si="1525"/>
        <v>#NAME?</v>
      </c>
      <c r="AB31" t="e">
        <f t="shared" si="1526"/>
        <v>#NAME?</v>
      </c>
      <c r="AD31">
        <f t="shared" si="1530"/>
        <v>28</v>
      </c>
      <c r="AE31">
        <f t="shared" si="1527"/>
        <v>11.227461431045</v>
      </c>
    </row>
    <row r="32">
      <c r="A32">
        <f t="shared" si="1528"/>
        <v>29</v>
      </c>
      <c r="B32">
        <v>9.0761713255316874</v>
      </c>
      <c r="D32">
        <f t="shared" si="1529"/>
        <v>29</v>
      </c>
      <c r="E32" t="e">
        <f t="shared" si="1520"/>
        <v>#NAME?</v>
      </c>
      <c r="F32" t="e">
        <f t="shared" si="1531"/>
        <v>#NAME?</v>
      </c>
      <c r="V32">
        <f t="shared" si="1521"/>
        <v>29</v>
      </c>
      <c r="W32" t="e">
        <f t="shared" si="1522"/>
        <v>#NAME?</v>
      </c>
      <c r="X32" t="e">
        <f t="shared" si="1523"/>
        <v>#NAME?</v>
      </c>
      <c r="Y32" t="e">
        <f t="shared" si="1524"/>
        <v>#NAME?</v>
      </c>
      <c r="Z32" t="e">
        <f t="shared" si="1512"/>
        <v>#NAME?</v>
      </c>
      <c r="AA32" t="e">
        <f t="shared" si="1525"/>
        <v>#NAME?</v>
      </c>
      <c r="AB32" t="e">
        <f t="shared" si="1526"/>
        <v>#NAME?</v>
      </c>
      <c r="AD32">
        <f t="shared" si="1530"/>
        <v>29</v>
      </c>
      <c r="AE32">
        <f t="shared" si="1527"/>
        <v>9.0761713255316891</v>
      </c>
    </row>
    <row r="33">
      <c r="A33">
        <f t="shared" si="1528"/>
        <v>30</v>
      </c>
      <c r="B33">
        <v>9.9094956509085357</v>
      </c>
      <c r="D33">
        <f t="shared" si="1529"/>
        <v>30</v>
      </c>
      <c r="E33" t="e">
        <f t="shared" si="1520"/>
        <v>#NAME?</v>
      </c>
      <c r="F33" t="e">
        <f t="shared" si="1531"/>
        <v>#NAME?</v>
      </c>
      <c r="V33">
        <f t="shared" si="1521"/>
        <v>30</v>
      </c>
      <c r="W33" t="e">
        <f t="shared" si="1522"/>
        <v>#NAME?</v>
      </c>
      <c r="X33" t="e">
        <f t="shared" si="1523"/>
        <v>#NAME?</v>
      </c>
      <c r="Y33" t="e">
        <f t="shared" si="1524"/>
        <v>#NAME?</v>
      </c>
      <c r="Z33" t="e">
        <f t="shared" si="1512"/>
        <v>#NAME?</v>
      </c>
      <c r="AA33" t="e">
        <f t="shared" si="1525"/>
        <v>#NAME?</v>
      </c>
      <c r="AB33" t="e">
        <f t="shared" si="1526"/>
        <v>#NAME?</v>
      </c>
      <c r="AD33">
        <f t="shared" si="1530"/>
        <v>30</v>
      </c>
      <c r="AE33">
        <f t="shared" si="1527"/>
        <v>9.9094956509085392</v>
      </c>
    </row>
    <row r="34">
      <c r="A34">
        <f t="shared" si="1528"/>
        <v>31</v>
      </c>
      <c r="B34">
        <v>11.683635570981137</v>
      </c>
      <c r="D34">
        <f t="shared" si="1529"/>
        <v>31</v>
      </c>
      <c r="E34" t="e">
        <f t="shared" si="1520"/>
        <v>#NAME?</v>
      </c>
      <c r="F34" t="e">
        <f t="shared" si="1531"/>
        <v>#NAME?</v>
      </c>
      <c r="V34">
        <f t="shared" si="1521"/>
        <v>31</v>
      </c>
      <c r="W34" t="e">
        <f t="shared" si="1522"/>
        <v>#NAME?</v>
      </c>
      <c r="X34" t="e">
        <f t="shared" si="1523"/>
        <v>#NAME?</v>
      </c>
      <c r="Y34" t="e">
        <f t="shared" si="1524"/>
        <v>#NAME?</v>
      </c>
      <c r="Z34" t="e">
        <f t="shared" si="1512"/>
        <v>#NAME?</v>
      </c>
      <c r="AA34" t="e">
        <f t="shared" si="1525"/>
        <v>#NAME?</v>
      </c>
      <c r="AB34" t="e">
        <f t="shared" si="1526"/>
        <v>#NAME?</v>
      </c>
      <c r="AD34">
        <f t="shared" si="1530"/>
        <v>31</v>
      </c>
      <c r="AE34">
        <f t="shared" si="1527"/>
        <v>11.6836355709811</v>
      </c>
    </row>
    <row r="35">
      <c r="A35">
        <f t="shared" si="1528"/>
        <v>32</v>
      </c>
      <c r="B35">
        <v>9.3891181090456559</v>
      </c>
      <c r="D35">
        <f t="shared" si="1529"/>
        <v>32</v>
      </c>
      <c r="E35" t="e">
        <f t="shared" si="1520"/>
        <v>#NAME?</v>
      </c>
      <c r="F35" t="e">
        <f t="shared" si="1531"/>
        <v>#NAME?</v>
      </c>
      <c r="V35">
        <f t="shared" si="1521"/>
        <v>32</v>
      </c>
      <c r="W35" t="e">
        <f t="shared" si="1522"/>
        <v>#NAME?</v>
      </c>
      <c r="X35" t="e">
        <f t="shared" si="1523"/>
        <v>#NAME?</v>
      </c>
      <c r="Y35" t="e">
        <f t="shared" si="1524"/>
        <v>#NAME?</v>
      </c>
      <c r="Z35" t="e">
        <f t="shared" si="1512"/>
        <v>#NAME?</v>
      </c>
      <c r="AA35" t="e">
        <f t="shared" si="1525"/>
        <v>#NAME?</v>
      </c>
      <c r="AB35" t="e">
        <f t="shared" si="1526"/>
        <v>#NAME?</v>
      </c>
      <c r="AD35">
        <f t="shared" si="1530"/>
        <v>32</v>
      </c>
      <c r="AE35">
        <f t="shared" si="1527"/>
        <v>9.3891181090456595</v>
      </c>
    </row>
    <row r="36">
      <c r="A36">
        <f t="shared" si="1528"/>
        <v>33</v>
      </c>
      <c r="B36">
        <v>11.280967352963559</v>
      </c>
      <c r="D36">
        <f t="shared" si="1529"/>
        <v>33</v>
      </c>
      <c r="E36" t="e">
        <f t="shared" si="1520"/>
        <v>#NAME?</v>
      </c>
      <c r="F36" t="e">
        <f t="shared" si="1531"/>
        <v>#NAME?</v>
      </c>
      <c r="V36">
        <f t="shared" si="1521"/>
        <v>33</v>
      </c>
      <c r="W36" t="e">
        <f t="shared" si="1522"/>
        <v>#NAME?</v>
      </c>
      <c r="X36" t="e">
        <f t="shared" si="1523"/>
        <v>#NAME?</v>
      </c>
      <c r="Y36" t="e">
        <f t="shared" si="1524"/>
        <v>#NAME?</v>
      </c>
      <c r="Z36" t="e">
        <f t="shared" si="1512"/>
        <v>#NAME?</v>
      </c>
      <c r="AA36" t="e">
        <f t="shared" si="1525"/>
        <v>#NAME?</v>
      </c>
      <c r="AB36" t="e">
        <f t="shared" si="1526"/>
        <v>#NAME?</v>
      </c>
      <c r="AD36">
        <f t="shared" si="1530"/>
        <v>33</v>
      </c>
      <c r="AE36">
        <f t="shared" si="1527"/>
        <v>11.2809673529636</v>
      </c>
    </row>
    <row r="37">
      <c r="A37">
        <f t="shared" si="1528"/>
        <v>34</v>
      </c>
      <c r="B37">
        <v>9.0777000543373685</v>
      </c>
      <c r="D37">
        <f t="shared" si="1529"/>
        <v>34</v>
      </c>
      <c r="E37" t="e">
        <f t="shared" si="1520"/>
        <v>#NAME?</v>
      </c>
      <c r="F37" t="e">
        <f t="shared" si="1531"/>
        <v>#NAME?</v>
      </c>
      <c r="V37">
        <f t="shared" si="1521"/>
        <v>34</v>
      </c>
      <c r="W37" t="e">
        <f t="shared" si="1522"/>
        <v>#NAME?</v>
      </c>
      <c r="X37" t="e">
        <f t="shared" si="1523"/>
        <v>#NAME?</v>
      </c>
      <c r="Y37" t="e">
        <f t="shared" si="1524"/>
        <v>#NAME?</v>
      </c>
      <c r="Z37" t="e">
        <f t="shared" si="1512"/>
        <v>#NAME?</v>
      </c>
      <c r="AA37" t="e">
        <f t="shared" si="1525"/>
        <v>#NAME?</v>
      </c>
      <c r="AB37" t="e">
        <f t="shared" si="1526"/>
        <v>#NAME?</v>
      </c>
      <c r="AD37">
        <f t="shared" si="1530"/>
        <v>34</v>
      </c>
      <c r="AE37">
        <f t="shared" si="1527"/>
        <v>9.0777000543373703</v>
      </c>
    </row>
    <row r="38">
      <c r="A38">
        <f t="shared" si="1528"/>
        <v>35</v>
      </c>
      <c r="B38">
        <v>9.4218520797101899</v>
      </c>
      <c r="D38">
        <f t="shared" si="1529"/>
        <v>35</v>
      </c>
      <c r="E38" t="e">
        <f t="shared" si="1520"/>
        <v>#NAME?</v>
      </c>
      <c r="F38" t="e">
        <f t="shared" si="1531"/>
        <v>#NAME?</v>
      </c>
      <c r="V38">
        <f t="shared" si="1521"/>
        <v>35</v>
      </c>
      <c r="W38" t="e">
        <f t="shared" si="1522"/>
        <v>#NAME?</v>
      </c>
      <c r="X38" t="e">
        <f t="shared" si="1523"/>
        <v>#NAME?</v>
      </c>
      <c r="Y38" t="e">
        <f t="shared" si="1524"/>
        <v>#NAME?</v>
      </c>
      <c r="Z38" t="e">
        <f t="shared" si="1512"/>
        <v>#NAME?</v>
      </c>
      <c r="AA38" t="e">
        <f t="shared" si="1525"/>
        <v>#NAME?</v>
      </c>
      <c r="AB38" t="e">
        <f t="shared" si="1526"/>
        <v>#NAME?</v>
      </c>
      <c r="AD38">
        <f t="shared" si="1530"/>
        <v>35</v>
      </c>
      <c r="AE38">
        <f t="shared" si="1527"/>
        <v>9.4218520797101899</v>
      </c>
    </row>
    <row r="39">
      <c r="A39">
        <f t="shared" si="1528"/>
        <v>36</v>
      </c>
      <c r="B39">
        <v>10.768670766726222</v>
      </c>
      <c r="D39">
        <f t="shared" si="1529"/>
        <v>36</v>
      </c>
      <c r="E39" t="e">
        <f t="shared" si="1520"/>
        <v>#NAME?</v>
      </c>
      <c r="F39" t="e">
        <f t="shared" si="1531"/>
        <v>#NAME?</v>
      </c>
      <c r="V39">
        <f t="shared" si="1521"/>
        <v>36</v>
      </c>
      <c r="W39" t="e">
        <f t="shared" si="1522"/>
        <v>#NAME?</v>
      </c>
      <c r="X39" t="e">
        <f t="shared" si="1523"/>
        <v>#NAME?</v>
      </c>
      <c r="Y39" t="e">
        <f t="shared" si="1524"/>
        <v>#NAME?</v>
      </c>
      <c r="Z39" t="e">
        <f t="shared" si="1512"/>
        <v>#NAME?</v>
      </c>
      <c r="AA39" t="e">
        <f t="shared" si="1525"/>
        <v>#NAME?</v>
      </c>
      <c r="AB39" t="e">
        <f t="shared" si="1526"/>
        <v>#NAME?</v>
      </c>
      <c r="AD39">
        <f t="shared" si="1530"/>
        <v>36</v>
      </c>
      <c r="AE39">
        <f t="shared" si="1527"/>
        <v>10.768670766726199</v>
      </c>
    </row>
    <row r="40">
      <c r="A40">
        <f t="shared" si="1528"/>
        <v>37</v>
      </c>
      <c r="B40">
        <v>10.044686426220611</v>
      </c>
      <c r="D40">
        <f t="shared" si="1529"/>
        <v>37</v>
      </c>
      <c r="E40" t="e">
        <f t="shared" si="1520"/>
        <v>#NAME?</v>
      </c>
      <c r="F40" t="e">
        <f t="shared" si="1531"/>
        <v>#NAME?</v>
      </c>
      <c r="V40">
        <f t="shared" si="1521"/>
        <v>37</v>
      </c>
      <c r="W40" t="e">
        <f t="shared" si="1522"/>
        <v>#NAME?</v>
      </c>
      <c r="X40" t="e">
        <f t="shared" si="1523"/>
        <v>#NAME?</v>
      </c>
      <c r="Y40" t="e">
        <f t="shared" si="1524"/>
        <v>#NAME?</v>
      </c>
      <c r="Z40" t="e">
        <f t="shared" si="1512"/>
        <v>#NAME?</v>
      </c>
      <c r="AA40" t="e">
        <f t="shared" si="1525"/>
        <v>#NAME?</v>
      </c>
      <c r="AB40" t="e">
        <f t="shared" si="1526"/>
        <v>#NAME?</v>
      </c>
      <c r="AD40">
        <f t="shared" si="1530"/>
        <v>37</v>
      </c>
      <c r="AE40">
        <f t="shared" si="1527"/>
        <v>10.044686426220601</v>
      </c>
    </row>
    <row r="41">
      <c r="A41">
        <f t="shared" si="1528"/>
        <v>38</v>
      </c>
      <c r="B41">
        <v>9.5026475408720934</v>
      </c>
      <c r="D41">
        <f t="shared" si="1529"/>
        <v>38</v>
      </c>
      <c r="E41" t="e">
        <f t="shared" si="1520"/>
        <v>#NAME?</v>
      </c>
      <c r="F41" t="e">
        <f t="shared" si="1531"/>
        <v>#NAME?</v>
      </c>
      <c r="V41">
        <f t="shared" si="1521"/>
        <v>38</v>
      </c>
      <c r="W41" t="e">
        <f t="shared" si="1522"/>
        <v>#NAME?</v>
      </c>
      <c r="X41" t="e">
        <f t="shared" si="1523"/>
        <v>#NAME?</v>
      </c>
      <c r="Y41" t="e">
        <f t="shared" si="1524"/>
        <v>#NAME?</v>
      </c>
      <c r="Z41" t="e">
        <f t="shared" si="1512"/>
        <v>#NAME?</v>
      </c>
      <c r="AA41" t="e">
        <f t="shared" si="1525"/>
        <v>#NAME?</v>
      </c>
      <c r="AB41" t="e">
        <f t="shared" si="1526"/>
        <v>#NAME?</v>
      </c>
      <c r="AD41">
        <f t="shared" si="1530"/>
        <v>38</v>
      </c>
      <c r="AE41">
        <f t="shared" si="1527"/>
        <v>9.5026475408721005</v>
      </c>
    </row>
    <row r="42">
      <c r="A42">
        <f t="shared" si="1528"/>
        <v>39</v>
      </c>
      <c r="B42">
        <v>12.016635145209888</v>
      </c>
      <c r="D42">
        <f t="shared" si="1529"/>
        <v>39</v>
      </c>
      <c r="E42" t="e">
        <f t="shared" si="1520"/>
        <v>#NAME?</v>
      </c>
      <c r="F42" t="e">
        <f t="shared" si="1531"/>
        <v>#NAME?</v>
      </c>
      <c r="V42">
        <f t="shared" si="1521"/>
        <v>39</v>
      </c>
      <c r="W42" t="e">
        <f t="shared" si="1522"/>
        <v>#NAME?</v>
      </c>
      <c r="X42" t="e">
        <f t="shared" si="1523"/>
        <v>#NAME?</v>
      </c>
      <c r="Y42" t="e">
        <f t="shared" si="1524"/>
        <v>#NAME?</v>
      </c>
      <c r="Z42" t="e">
        <f t="shared" si="1512"/>
        <v>#NAME?</v>
      </c>
      <c r="AA42" t="e">
        <f t="shared" si="1525"/>
        <v>#NAME?</v>
      </c>
      <c r="AB42" t="e">
        <f t="shared" si="1526"/>
        <v>#NAME?</v>
      </c>
      <c r="AD42">
        <f t="shared" si="1530"/>
        <v>39</v>
      </c>
      <c r="AE42">
        <f t="shared" si="1527"/>
        <v>12.0166351452099</v>
      </c>
    </row>
    <row r="43">
      <c r="A43">
        <f t="shared" si="1528"/>
        <v>40</v>
      </c>
      <c r="B43">
        <v>9.6075824244635548</v>
      </c>
      <c r="D43">
        <f t="shared" si="1529"/>
        <v>40</v>
      </c>
      <c r="E43" t="e">
        <f t="shared" si="1520"/>
        <v>#NAME?</v>
      </c>
      <c r="F43" t="e">
        <f t="shared" si="1531"/>
        <v>#NAME?</v>
      </c>
      <c r="V43">
        <f t="shared" si="1521"/>
        <v>40</v>
      </c>
      <c r="W43" t="e">
        <f t="shared" si="1522"/>
        <v>#NAME?</v>
      </c>
      <c r="X43" t="e">
        <f t="shared" si="1523"/>
        <v>#NAME?</v>
      </c>
      <c r="Y43" t="e">
        <f t="shared" si="1524"/>
        <v>#NAME?</v>
      </c>
      <c r="Z43" t="e">
        <f t="shared" si="1512"/>
        <v>#NAME?</v>
      </c>
      <c r="AA43" t="e">
        <f t="shared" si="1525"/>
        <v>#NAME?</v>
      </c>
      <c r="AB43" t="e">
        <f t="shared" si="1526"/>
        <v>#NAME?</v>
      </c>
      <c r="AD43">
        <f t="shared" si="1530"/>
        <v>40</v>
      </c>
      <c r="AE43">
        <f t="shared" si="1527"/>
        <v>9.6075824244635601</v>
      </c>
    </row>
    <row r="44">
      <c r="A44">
        <f t="shared" si="1528"/>
        <v>41</v>
      </c>
      <c r="B44">
        <v>10.47879870661002</v>
      </c>
      <c r="D44">
        <f t="shared" si="1529"/>
        <v>41</v>
      </c>
      <c r="E44" t="e">
        <f t="shared" si="1520"/>
        <v>#NAME?</v>
      </c>
      <c r="F44" t="e">
        <f t="shared" si="1531"/>
        <v>#NAME?</v>
      </c>
      <c r="V44">
        <f t="shared" si="1521"/>
        <v>41</v>
      </c>
      <c r="W44" t="e">
        <f t="shared" si="1522"/>
        <v>#NAME?</v>
      </c>
      <c r="X44" t="e">
        <f t="shared" si="1523"/>
        <v>#NAME?</v>
      </c>
      <c r="Y44" t="e">
        <f t="shared" si="1524"/>
        <v>#NAME?</v>
      </c>
      <c r="Z44" t="e">
        <f t="shared" si="1512"/>
        <v>#NAME?</v>
      </c>
      <c r="AA44" t="e">
        <f t="shared" si="1525"/>
        <v>#NAME?</v>
      </c>
      <c r="AB44" t="e">
        <f t="shared" si="1526"/>
        <v>#NAME?</v>
      </c>
      <c r="AD44">
        <f t="shared" si="1530"/>
        <v>41</v>
      </c>
      <c r="AE44">
        <f t="shared" si="1527"/>
        <v>10.47879870661</v>
      </c>
    </row>
    <row r="45">
      <c r="A45">
        <f t="shared" si="1528"/>
        <v>42</v>
      </c>
      <c r="B45">
        <v>10.131145996118136</v>
      </c>
      <c r="D45">
        <f t="shared" si="1529"/>
        <v>42</v>
      </c>
      <c r="E45" t="e">
        <f t="shared" si="1520"/>
        <v>#NAME?</v>
      </c>
      <c r="F45" t="e">
        <f t="shared" si="1531"/>
        <v>#NAME?</v>
      </c>
      <c r="V45">
        <f t="shared" si="1521"/>
        <v>42</v>
      </c>
      <c r="W45" t="e">
        <f t="shared" si="1522"/>
        <v>#NAME?</v>
      </c>
      <c r="X45" t="e">
        <f t="shared" si="1523"/>
        <v>#NAME?</v>
      </c>
      <c r="Y45" t="e">
        <f t="shared" si="1524"/>
        <v>#NAME?</v>
      </c>
      <c r="Z45" t="e">
        <f t="shared" si="1512"/>
        <v>#NAME?</v>
      </c>
      <c r="AA45" t="e">
        <f t="shared" si="1525"/>
        <v>#NAME?</v>
      </c>
      <c r="AB45" t="e">
        <f t="shared" si="1526"/>
        <v>#NAME?</v>
      </c>
      <c r="AD45">
        <f t="shared" si="1530"/>
        <v>42</v>
      </c>
      <c r="AE45">
        <f t="shared" si="1527"/>
        <v>10.1311459961181</v>
      </c>
    </row>
    <row r="46">
      <c r="A46">
        <f t="shared" si="1528"/>
        <v>43</v>
      </c>
      <c r="B46">
        <v>9.3102529930939451</v>
      </c>
      <c r="D46">
        <f t="shared" si="1529"/>
        <v>43</v>
      </c>
      <c r="E46" t="e">
        <f t="shared" si="1520"/>
        <v>#NAME?</v>
      </c>
      <c r="F46" t="e">
        <f t="shared" si="1531"/>
        <v>#NAME?</v>
      </c>
      <c r="V46">
        <f t="shared" si="1521"/>
        <v>43</v>
      </c>
      <c r="W46" t="e">
        <f t="shared" si="1522"/>
        <v>#NAME?</v>
      </c>
      <c r="X46" t="e">
        <f t="shared" si="1523"/>
        <v>#NAME?</v>
      </c>
      <c r="Y46" t="e">
        <f t="shared" si="1524"/>
        <v>#NAME?</v>
      </c>
      <c r="Z46" t="e">
        <f t="shared" si="1512"/>
        <v>#NAME?</v>
      </c>
      <c r="AA46" t="e">
        <f t="shared" si="1525"/>
        <v>#NAME?</v>
      </c>
      <c r="AB46" t="e">
        <f t="shared" si="1526"/>
        <v>#NAME?</v>
      </c>
      <c r="AD46">
        <f t="shared" si="1530"/>
        <v>43</v>
      </c>
      <c r="AE46">
        <f t="shared" si="1527"/>
        <v>9.3102529930939504</v>
      </c>
    </row>
    <row r="47">
      <c r="A47">
        <f t="shared" si="1528"/>
        <v>44</v>
      </c>
      <c r="B47">
        <v>9.9532374569799149</v>
      </c>
      <c r="D47">
        <f t="shared" si="1529"/>
        <v>44</v>
      </c>
      <c r="E47" t="e">
        <f t="shared" si="1520"/>
        <v>#NAME?</v>
      </c>
      <c r="F47" t="e">
        <f t="shared" si="1531"/>
        <v>#NAME?</v>
      </c>
      <c r="V47">
        <f t="shared" si="1521"/>
        <v>44</v>
      </c>
      <c r="W47" t="e">
        <f t="shared" si="1522"/>
        <v>#NAME?</v>
      </c>
      <c r="X47" t="e">
        <f t="shared" si="1523"/>
        <v>#NAME?</v>
      </c>
      <c r="Y47" t="e">
        <f t="shared" si="1524"/>
        <v>#NAME?</v>
      </c>
      <c r="Z47" t="e">
        <f t="shared" si="1512"/>
        <v>#NAME?</v>
      </c>
      <c r="AA47" t="e">
        <f t="shared" si="1525"/>
        <v>#NAME?</v>
      </c>
      <c r="AB47" t="e">
        <f t="shared" si="1526"/>
        <v>#NAME?</v>
      </c>
      <c r="AD47">
        <f t="shared" si="1530"/>
        <v>44</v>
      </c>
      <c r="AE47">
        <f t="shared" si="1527"/>
        <v>9.9532374569799202</v>
      </c>
    </row>
    <row r="48">
      <c r="A48">
        <f t="shared" si="1528"/>
        <v>45</v>
      </c>
      <c r="B48">
        <v>9.9320829740295604</v>
      </c>
      <c r="D48">
        <f t="shared" si="1529"/>
        <v>45</v>
      </c>
      <c r="E48" t="e">
        <f t="shared" si="1520"/>
        <v>#NAME?</v>
      </c>
      <c r="F48" t="e">
        <f t="shared" si="1531"/>
        <v>#NAME?</v>
      </c>
      <c r="V48">
        <f t="shared" si="1521"/>
        <v>45</v>
      </c>
      <c r="W48" t="e">
        <f t="shared" si="1522"/>
        <v>#NAME?</v>
      </c>
      <c r="X48" t="e">
        <f t="shared" si="1523"/>
        <v>#NAME?</v>
      </c>
      <c r="Y48" t="e">
        <f t="shared" si="1524"/>
        <v>#NAME?</v>
      </c>
      <c r="Z48" t="e">
        <f t="shared" si="1512"/>
        <v>#NAME?</v>
      </c>
      <c r="AA48" t="e">
        <f t="shared" si="1525"/>
        <v>#NAME?</v>
      </c>
      <c r="AB48" t="e">
        <f t="shared" si="1526"/>
        <v>#NAME?</v>
      </c>
      <c r="AD48">
        <f t="shared" si="1530"/>
        <v>45</v>
      </c>
      <c r="AE48">
        <f t="shared" si="1527"/>
        <v>9.9320829740295604</v>
      </c>
    </row>
    <row r="49">
      <c r="A49">
        <f t="shared" si="1528"/>
        <v>46</v>
      </c>
      <c r="B49">
        <v>11.635101979488615</v>
      </c>
      <c r="D49">
        <f t="shared" si="1529"/>
        <v>46</v>
      </c>
      <c r="E49" t="e">
        <f t="shared" si="1520"/>
        <v>#NAME?</v>
      </c>
      <c r="F49" t="e">
        <f t="shared" si="1531"/>
        <v>#NAME?</v>
      </c>
      <c r="V49">
        <f t="shared" si="1521"/>
        <v>46</v>
      </c>
      <c r="W49" t="e">
        <f t="shared" si="1522"/>
        <v>#NAME?</v>
      </c>
      <c r="X49" t="e">
        <f t="shared" si="1523"/>
        <v>#NAME?</v>
      </c>
      <c r="Y49" t="e">
        <f t="shared" si="1524"/>
        <v>#NAME?</v>
      </c>
      <c r="Z49" t="e">
        <f t="shared" si="1512"/>
        <v>#NAME?</v>
      </c>
      <c r="AA49" t="e">
        <f t="shared" si="1525"/>
        <v>#NAME?</v>
      </c>
      <c r="AB49" t="e">
        <f t="shared" si="1526"/>
        <v>#NAME?</v>
      </c>
      <c r="AD49">
        <f t="shared" si="1530"/>
        <v>46</v>
      </c>
      <c r="AE49">
        <f t="shared" si="1527"/>
        <v>11.635101979488599</v>
      </c>
    </row>
    <row r="50">
      <c r="A50">
        <f t="shared" si="1528"/>
        <v>47</v>
      </c>
      <c r="B50">
        <v>10.428242822398191</v>
      </c>
      <c r="D50">
        <f t="shared" si="1529"/>
        <v>47</v>
      </c>
      <c r="E50" t="e">
        <f t="shared" si="1520"/>
        <v>#NAME?</v>
      </c>
      <c r="F50" t="e">
        <f t="shared" si="1531"/>
        <v>#NAME?</v>
      </c>
      <c r="V50">
        <f t="shared" si="1521"/>
        <v>47</v>
      </c>
      <c r="W50" t="e">
        <f t="shared" si="1522"/>
        <v>#NAME?</v>
      </c>
      <c r="X50" t="e">
        <f t="shared" si="1523"/>
        <v>#NAME?</v>
      </c>
      <c r="Y50" t="e">
        <f t="shared" si="1524"/>
        <v>#NAME?</v>
      </c>
      <c r="Z50" t="e">
        <f t="shared" si="1512"/>
        <v>#NAME?</v>
      </c>
      <c r="AA50" t="e">
        <f t="shared" si="1525"/>
        <v>#NAME?</v>
      </c>
      <c r="AB50" t="e">
        <f t="shared" si="1526"/>
        <v>#NAME?</v>
      </c>
      <c r="AD50">
        <f t="shared" si="1530"/>
        <v>47</v>
      </c>
      <c r="AE50">
        <f t="shared" si="1527"/>
        <v>10.4282428223982</v>
      </c>
    </row>
    <row r="51">
      <c r="A51">
        <f t="shared" si="1528"/>
        <v>48</v>
      </c>
      <c r="B51">
        <v>9.6942306857497602</v>
      </c>
      <c r="D51">
        <f t="shared" si="1529"/>
        <v>48</v>
      </c>
      <c r="E51" t="e">
        <f t="shared" si="1520"/>
        <v>#NAME?</v>
      </c>
      <c r="F51" t="e">
        <f t="shared" si="1531"/>
        <v>#NAME?</v>
      </c>
      <c r="V51">
        <f t="shared" si="1521"/>
        <v>48</v>
      </c>
      <c r="W51" t="e">
        <f t="shared" si="1522"/>
        <v>#NAME?</v>
      </c>
      <c r="X51" t="e">
        <f t="shared" si="1523"/>
        <v>#NAME?</v>
      </c>
      <c r="Y51" t="e">
        <f t="shared" si="1524"/>
        <v>#NAME?</v>
      </c>
      <c r="Z51" t="e">
        <f t="shared" si="1512"/>
        <v>#NAME?</v>
      </c>
      <c r="AA51" t="e">
        <f t="shared" si="1525"/>
        <v>#NAME?</v>
      </c>
      <c r="AB51" t="e">
        <f t="shared" si="1526"/>
        <v>#NAME?</v>
      </c>
      <c r="AD51">
        <f t="shared" si="1530"/>
        <v>48</v>
      </c>
      <c r="AE51">
        <f t="shared" si="1527"/>
        <v>9.6942306857497602</v>
      </c>
    </row>
    <row r="52">
      <c r="A52">
        <f t="shared" si="1528"/>
        <v>49</v>
      </c>
      <c r="B52">
        <v>10.169036752376758</v>
      </c>
      <c r="D52">
        <f t="shared" si="1529"/>
        <v>49</v>
      </c>
      <c r="E52" t="e">
        <f t="shared" si="1520"/>
        <v>#NAME?</v>
      </c>
      <c r="F52" t="e">
        <f t="shared" si="1531"/>
        <v>#NAME?</v>
      </c>
      <c r="V52">
        <f t="shared" si="1521"/>
        <v>49</v>
      </c>
      <c r="W52" t="e">
        <f t="shared" si="1522"/>
        <v>#NAME?</v>
      </c>
      <c r="X52" t="e">
        <f t="shared" si="1523"/>
        <v>#NAME?</v>
      </c>
      <c r="Y52" t="e">
        <f t="shared" si="1524"/>
        <v>#NAME?</v>
      </c>
      <c r="Z52" t="e">
        <f t="shared" si="1512"/>
        <v>#NAME?</v>
      </c>
      <c r="AA52" t="e">
        <f t="shared" si="1525"/>
        <v>#NAME?</v>
      </c>
      <c r="AB52" t="e">
        <f t="shared" si="1526"/>
        <v>#NAME?</v>
      </c>
      <c r="AD52">
        <f t="shared" si="1530"/>
        <v>49</v>
      </c>
      <c r="AE52">
        <f t="shared" si="1527"/>
        <v>10.169036752376799</v>
      </c>
    </row>
    <row r="53">
      <c r="A53">
        <f t="shared" si="1528"/>
        <v>50</v>
      </c>
      <c r="B53">
        <v>10.486655712590014</v>
      </c>
      <c r="D53">
        <f t="shared" si="1529"/>
        <v>50</v>
      </c>
      <c r="E53" t="e">
        <f t="shared" si="1520"/>
        <v>#NAME?</v>
      </c>
      <c r="F53" t="e">
        <f t="shared" si="1531"/>
        <v>#NAME?</v>
      </c>
      <c r="V53">
        <f t="shared" si="1521"/>
        <v>50</v>
      </c>
      <c r="W53" t="e">
        <f t="shared" si="1522"/>
        <v>#NAME?</v>
      </c>
      <c r="X53" t="e">
        <f t="shared" si="1523"/>
        <v>#NAME?</v>
      </c>
      <c r="Y53" t="e">
        <f t="shared" si="1524"/>
        <v>#NAME?</v>
      </c>
      <c r="Z53" t="e">
        <f t="shared" si="1512"/>
        <v>#NAME?</v>
      </c>
      <c r="AA53" t="e">
        <f t="shared" si="1525"/>
        <v>#NAME?</v>
      </c>
      <c r="AB53" t="e">
        <f t="shared" si="1526"/>
        <v>#NAME?</v>
      </c>
      <c r="AD53">
        <f t="shared" si="1530"/>
        <v>50</v>
      </c>
      <c r="AE53">
        <f t="shared" si="1527"/>
        <v>10.48665571259</v>
      </c>
    </row>
    <row r="54">
      <c r="A54">
        <f t="shared" si="1528"/>
        <v>51</v>
      </c>
      <c r="B54">
        <v>10.656149640052815</v>
      </c>
      <c r="D54">
        <f t="shared" si="1529"/>
        <v>51</v>
      </c>
      <c r="E54" t="e">
        <f t="shared" si="1520"/>
        <v>#NAME?</v>
      </c>
      <c r="F54" t="e">
        <f t="shared" si="1531"/>
        <v>#NAME?</v>
      </c>
      <c r="V54">
        <f t="shared" si="1521"/>
        <v>51</v>
      </c>
      <c r="W54" t="e">
        <f t="shared" si="1522"/>
        <v>#NAME?</v>
      </c>
      <c r="X54" t="e">
        <f t="shared" si="1523"/>
        <v>#NAME?</v>
      </c>
      <c r="Y54" t="e">
        <f t="shared" si="1524"/>
        <v>#NAME?</v>
      </c>
      <c r="Z54" t="e">
        <f t="shared" si="1512"/>
        <v>#NAME?</v>
      </c>
      <c r="AA54" t="e">
        <f t="shared" si="1525"/>
        <v>#NAME?</v>
      </c>
      <c r="AB54" t="e">
        <f t="shared" si="1526"/>
        <v>#NAME?</v>
      </c>
      <c r="AD54">
        <f t="shared" si="1530"/>
        <v>51</v>
      </c>
      <c r="AE54">
        <f t="shared" si="1527"/>
        <v>10.656149640052799</v>
      </c>
    </row>
    <row r="55">
      <c r="A55">
        <f t="shared" si="1528"/>
        <v>52</v>
      </c>
      <c r="B55">
        <v>10.129317566616013</v>
      </c>
      <c r="D55">
        <f t="shared" si="1529"/>
        <v>52</v>
      </c>
      <c r="E55" t="e">
        <f t="shared" si="1520"/>
        <v>#NAME?</v>
      </c>
      <c r="F55" t="e">
        <f t="shared" si="1531"/>
        <v>#NAME?</v>
      </c>
      <c r="V55">
        <f t="shared" si="1521"/>
        <v>52</v>
      </c>
      <c r="W55" t="e">
        <f t="shared" si="1522"/>
        <v>#NAME?</v>
      </c>
      <c r="X55" t="e">
        <f t="shared" si="1523"/>
        <v>#NAME?</v>
      </c>
      <c r="Y55" t="e">
        <f t="shared" si="1524"/>
        <v>#NAME?</v>
      </c>
      <c r="Z55" t="e">
        <f t="shared" si="1512"/>
        <v>#NAME?</v>
      </c>
      <c r="AA55" t="e">
        <f t="shared" si="1525"/>
        <v>#NAME?</v>
      </c>
      <c r="AB55" t="e">
        <f t="shared" si="1526"/>
        <v>#NAME?</v>
      </c>
      <c r="AD55">
        <f t="shared" si="1530"/>
        <v>52</v>
      </c>
      <c r="AE55">
        <f t="shared" si="1527"/>
        <v>10.129317566616001</v>
      </c>
    </row>
    <row r="56">
      <c r="A56">
        <f t="shared" si="1528"/>
        <v>53</v>
      </c>
      <c r="B56">
        <v>8.9663057524182062</v>
      </c>
      <c r="D56">
        <f t="shared" si="1529"/>
        <v>53</v>
      </c>
      <c r="E56" t="e">
        <f t="shared" si="1520"/>
        <v>#NAME?</v>
      </c>
      <c r="F56" t="e">
        <f t="shared" si="1531"/>
        <v>#NAME?</v>
      </c>
      <c r="V56">
        <f t="shared" si="1521"/>
        <v>53</v>
      </c>
      <c r="W56" t="e">
        <f t="shared" si="1522"/>
        <v>#NAME?</v>
      </c>
      <c r="X56" t="e">
        <f t="shared" si="1523"/>
        <v>#NAME?</v>
      </c>
      <c r="Y56" t="e">
        <f t="shared" si="1524"/>
        <v>#NAME?</v>
      </c>
      <c r="Z56" t="e">
        <f t="shared" si="1512"/>
        <v>#NAME?</v>
      </c>
      <c r="AA56" t="e">
        <f t="shared" si="1525"/>
        <v>#NAME?</v>
      </c>
      <c r="AB56" t="e">
        <f t="shared" si="1526"/>
        <v>#NAME?</v>
      </c>
      <c r="AD56">
        <f t="shared" si="1530"/>
        <v>53</v>
      </c>
      <c r="AE56">
        <f t="shared" si="1527"/>
        <v>8.9663057524182097</v>
      </c>
    </row>
    <row r="57">
      <c r="A57">
        <f t="shared" si="1528"/>
        <v>54</v>
      </c>
      <c r="B57">
        <v>8.1067514389924806</v>
      </c>
      <c r="D57">
        <f t="shared" si="1529"/>
        <v>54</v>
      </c>
      <c r="E57" t="e">
        <f t="shared" si="1520"/>
        <v>#NAME?</v>
      </c>
      <c r="F57" t="e">
        <f t="shared" si="1531"/>
        <v>#NAME?</v>
      </c>
      <c r="V57">
        <f t="shared" si="1521"/>
        <v>54</v>
      </c>
      <c r="W57" t="e">
        <f t="shared" si="1522"/>
        <v>#NAME?</v>
      </c>
      <c r="X57" t="e">
        <f t="shared" si="1523"/>
        <v>#NAME?</v>
      </c>
      <c r="Y57" t="e">
        <f t="shared" si="1524"/>
        <v>#NAME?</v>
      </c>
      <c r="Z57" t="e">
        <f t="shared" si="1512"/>
        <v>#NAME?</v>
      </c>
      <c r="AA57" t="e">
        <f t="shared" si="1525"/>
        <v>#NAME?</v>
      </c>
      <c r="AB57" t="e">
        <f t="shared" si="1526"/>
        <v>#NAME?</v>
      </c>
      <c r="AD57">
        <f t="shared" si="1530"/>
        <v>54</v>
      </c>
      <c r="AE57">
        <f t="shared" si="1527"/>
        <v>8.1067514389924806</v>
      </c>
    </row>
    <row r="58">
      <c r="A58">
        <f t="shared" si="1528"/>
        <v>55</v>
      </c>
      <c r="B58">
        <v>8.6738987578515001</v>
      </c>
      <c r="D58">
        <f t="shared" si="1529"/>
        <v>55</v>
      </c>
      <c r="E58" t="e">
        <f t="shared" si="1520"/>
        <v>#NAME?</v>
      </c>
      <c r="F58" t="e">
        <f t="shared" si="1531"/>
        <v>#NAME?</v>
      </c>
      <c r="V58">
        <f t="shared" si="1521"/>
        <v>55</v>
      </c>
      <c r="W58" t="e">
        <f t="shared" si="1522"/>
        <v>#NAME?</v>
      </c>
      <c r="X58" t="e">
        <f t="shared" si="1523"/>
        <v>#NAME?</v>
      </c>
      <c r="Y58" t="e">
        <f t="shared" si="1524"/>
        <v>#NAME?</v>
      </c>
      <c r="Z58" t="e">
        <f t="shared" si="1512"/>
        <v>#NAME?</v>
      </c>
      <c r="AA58" t="e">
        <f t="shared" si="1525"/>
        <v>#NAME?</v>
      </c>
      <c r="AB58" t="e">
        <f t="shared" si="1526"/>
        <v>#NAME?</v>
      </c>
      <c r="AD58">
        <f t="shared" si="1530"/>
        <v>55</v>
      </c>
      <c r="AE58">
        <f t="shared" si="1527"/>
        <v>8.6738987578515001</v>
      </c>
    </row>
    <row r="59">
      <c r="A59">
        <f t="shared" si="1528"/>
        <v>56</v>
      </c>
      <c r="B59">
        <v>8.7398621237592646</v>
      </c>
      <c r="D59">
        <f t="shared" si="1529"/>
        <v>56</v>
      </c>
      <c r="E59" t="e">
        <f t="shared" si="1520"/>
        <v>#NAME?</v>
      </c>
      <c r="F59" t="e">
        <f t="shared" si="1531"/>
        <v>#NAME?</v>
      </c>
      <c r="V59">
        <f t="shared" si="1521"/>
        <v>56</v>
      </c>
      <c r="W59" t="e">
        <f t="shared" si="1522"/>
        <v>#NAME?</v>
      </c>
      <c r="X59" t="e">
        <f t="shared" si="1523"/>
        <v>#NAME?</v>
      </c>
      <c r="Y59" t="e">
        <f t="shared" si="1524"/>
        <v>#NAME?</v>
      </c>
      <c r="Z59" t="e">
        <f t="shared" si="1512"/>
        <v>#NAME?</v>
      </c>
      <c r="AA59" t="e">
        <f t="shared" si="1525"/>
        <v>#NAME?</v>
      </c>
      <c r="AB59" t="e">
        <f t="shared" si="1526"/>
        <v>#NAME?</v>
      </c>
      <c r="AD59">
        <f t="shared" si="1530"/>
        <v>56</v>
      </c>
      <c r="AE59">
        <f t="shared" si="1527"/>
        <v>8.73986212375927</v>
      </c>
    </row>
    <row r="60">
      <c r="A60">
        <f t="shared" si="1528"/>
        <v>57</v>
      </c>
      <c r="B60">
        <v>8.7639760975280581</v>
      </c>
      <c r="D60">
        <f t="shared" si="1529"/>
        <v>57</v>
      </c>
      <c r="E60" t="e">
        <f t="shared" si="1520"/>
        <v>#NAME?</v>
      </c>
      <c r="F60" t="e">
        <f t="shared" si="1531"/>
        <v>#NAME?</v>
      </c>
      <c r="V60">
        <f t="shared" si="1521"/>
        <v>57</v>
      </c>
      <c r="W60" t="e">
        <f t="shared" si="1522"/>
        <v>#NAME?</v>
      </c>
      <c r="X60" t="e">
        <f t="shared" si="1523"/>
        <v>#NAME?</v>
      </c>
      <c r="Y60" t="e">
        <f t="shared" si="1524"/>
        <v>#NAME?</v>
      </c>
      <c r="Z60" t="e">
        <f t="shared" si="1512"/>
        <v>#NAME?</v>
      </c>
      <c r="AA60" t="e">
        <f t="shared" si="1525"/>
        <v>#NAME?</v>
      </c>
      <c r="AB60" t="e">
        <f t="shared" si="1526"/>
        <v>#NAME?</v>
      </c>
      <c r="AD60">
        <f t="shared" si="1530"/>
        <v>57</v>
      </c>
      <c r="AE60">
        <f t="shared" si="1527"/>
        <v>8.7639760975280598</v>
      </c>
    </row>
    <row r="61">
      <c r="A61">
        <f t="shared" si="1528"/>
        <v>58</v>
      </c>
      <c r="B61">
        <v>10.607632270250908</v>
      </c>
      <c r="D61">
        <f t="shared" si="1529"/>
        <v>58</v>
      </c>
      <c r="E61" t="e">
        <f t="shared" si="1520"/>
        <v>#NAME?</v>
      </c>
      <c r="F61" t="e">
        <f t="shared" si="1531"/>
        <v>#NAME?</v>
      </c>
      <c r="V61">
        <f t="shared" si="1521"/>
        <v>58</v>
      </c>
      <c r="W61" t="e">
        <f t="shared" si="1522"/>
        <v>#NAME?</v>
      </c>
      <c r="X61" t="e">
        <f t="shared" si="1523"/>
        <v>#NAME?</v>
      </c>
      <c r="Y61" t="e">
        <f t="shared" si="1524"/>
        <v>#NAME?</v>
      </c>
      <c r="Z61" t="e">
        <f t="shared" si="1512"/>
        <v>#NAME?</v>
      </c>
      <c r="AA61" t="e">
        <f t="shared" si="1525"/>
        <v>#NAME?</v>
      </c>
      <c r="AB61" t="e">
        <f t="shared" si="1526"/>
        <v>#NAME?</v>
      </c>
      <c r="AD61">
        <f t="shared" si="1530"/>
        <v>58</v>
      </c>
      <c r="AE61">
        <f t="shared" si="1527"/>
        <v>10.6076322702509</v>
      </c>
    </row>
    <row r="62">
      <c r="A62">
        <f t="shared" si="1528"/>
        <v>59</v>
      </c>
      <c r="B62">
        <v>8.8462843661117905</v>
      </c>
      <c r="D62">
        <f t="shared" si="1529"/>
        <v>59</v>
      </c>
      <c r="E62" t="e">
        <f t="shared" si="1520"/>
        <v>#NAME?</v>
      </c>
      <c r="F62" t="e">
        <f t="shared" si="1531"/>
        <v>#NAME?</v>
      </c>
      <c r="V62">
        <f t="shared" si="1521"/>
        <v>59</v>
      </c>
      <c r="W62" t="e">
        <f t="shared" si="1522"/>
        <v>#NAME?</v>
      </c>
      <c r="X62" t="e">
        <f t="shared" si="1523"/>
        <v>#NAME?</v>
      </c>
      <c r="Y62" t="e">
        <f t="shared" si="1524"/>
        <v>#NAME?</v>
      </c>
      <c r="Z62" t="e">
        <f t="shared" si="1512"/>
        <v>#NAME?</v>
      </c>
      <c r="AA62" t="e">
        <f t="shared" si="1525"/>
        <v>#NAME?</v>
      </c>
      <c r="AB62" t="e">
        <f t="shared" si="1526"/>
        <v>#NAME?</v>
      </c>
      <c r="AD62">
        <f t="shared" si="1530"/>
        <v>59</v>
      </c>
      <c r="AE62">
        <f t="shared" si="1527"/>
        <v>8.8462843661117905</v>
      </c>
    </row>
    <row r="63">
      <c r="A63">
        <f t="shared" si="1528"/>
        <v>60</v>
      </c>
      <c r="B63">
        <v>8.197430472078814</v>
      </c>
      <c r="D63">
        <f t="shared" si="1529"/>
        <v>60</v>
      </c>
      <c r="E63" t="e">
        <f t="shared" si="1520"/>
        <v>#NAME?</v>
      </c>
      <c r="F63" t="e">
        <f t="shared" si="1531"/>
        <v>#NAME?</v>
      </c>
      <c r="V63">
        <f t="shared" si="1521"/>
        <v>60</v>
      </c>
      <c r="W63" t="e">
        <f t="shared" si="1522"/>
        <v>#NAME?</v>
      </c>
      <c r="X63" t="e">
        <f t="shared" si="1523"/>
        <v>#NAME?</v>
      </c>
      <c r="Y63" t="e">
        <f t="shared" si="1524"/>
        <v>#NAME?</v>
      </c>
      <c r="Z63" t="e">
        <f t="shared" si="1512"/>
        <v>#NAME?</v>
      </c>
      <c r="AA63" t="e">
        <f t="shared" si="1525"/>
        <v>#NAME?</v>
      </c>
      <c r="AB63" t="e">
        <f t="shared" si="1526"/>
        <v>#NAME?</v>
      </c>
      <c r="AD63">
        <f t="shared" si="1530"/>
        <v>60</v>
      </c>
      <c r="AE63">
        <f t="shared" si="1527"/>
        <v>8.1974304720788194</v>
      </c>
    </row>
    <row r="64">
      <c r="A64">
        <f t="shared" si="1528"/>
        <v>61</v>
      </c>
      <c r="B64">
        <v>9.7004678107933984</v>
      </c>
      <c r="D64">
        <f t="shared" si="1529"/>
        <v>61</v>
      </c>
      <c r="E64" t="e">
        <f t="shared" si="1520"/>
        <v>#NAME?</v>
      </c>
      <c r="F64" t="e">
        <f t="shared" si="1531"/>
        <v>#NAME?</v>
      </c>
      <c r="V64">
        <f t="shared" si="1521"/>
        <v>61</v>
      </c>
      <c r="W64" t="e">
        <f t="shared" si="1522"/>
        <v>#NAME?</v>
      </c>
      <c r="X64" t="e">
        <f t="shared" si="1523"/>
        <v>#NAME?</v>
      </c>
      <c r="Y64" t="e">
        <f t="shared" si="1524"/>
        <v>#NAME?</v>
      </c>
      <c r="Z64" t="e">
        <f t="shared" si="1512"/>
        <v>#NAME?</v>
      </c>
      <c r="AA64" t="e">
        <f t="shared" si="1525"/>
        <v>#NAME?</v>
      </c>
      <c r="AB64" t="e">
        <f t="shared" si="1526"/>
        <v>#NAME?</v>
      </c>
      <c r="AD64">
        <f t="shared" si="1530"/>
        <v>61</v>
      </c>
      <c r="AE64">
        <f t="shared" si="1527"/>
        <v>9.7004678107934001</v>
      </c>
    </row>
    <row r="65">
      <c r="A65">
        <f t="shared" si="1528"/>
        <v>62</v>
      </c>
      <c r="B65">
        <v>9.4988084630262417</v>
      </c>
      <c r="D65">
        <f t="shared" si="1529"/>
        <v>62</v>
      </c>
      <c r="E65" t="e">
        <f t="shared" si="1520"/>
        <v>#NAME?</v>
      </c>
      <c r="F65" t="e">
        <f t="shared" si="1531"/>
        <v>#NAME?</v>
      </c>
      <c r="V65">
        <f t="shared" si="1521"/>
        <v>62</v>
      </c>
      <c r="W65" t="e">
        <f t="shared" si="1522"/>
        <v>#NAME?</v>
      </c>
      <c r="X65" t="e">
        <f t="shared" si="1523"/>
        <v>#NAME?</v>
      </c>
      <c r="Y65" t="e">
        <f t="shared" si="1524"/>
        <v>#NAME?</v>
      </c>
      <c r="Z65" t="e">
        <f t="shared" si="1512"/>
        <v>#NAME?</v>
      </c>
      <c r="AA65" t="e">
        <f t="shared" si="1525"/>
        <v>#NAME?</v>
      </c>
      <c r="AB65" t="e">
        <f t="shared" si="1526"/>
        <v>#NAME?</v>
      </c>
      <c r="AD65">
        <f t="shared" si="1530"/>
        <v>62</v>
      </c>
      <c r="AE65">
        <f t="shared" si="1527"/>
        <v>9.4988084630262399</v>
      </c>
    </row>
    <row r="66">
      <c r="A66">
        <f t="shared" si="1528"/>
        <v>63</v>
      </c>
      <c r="B66">
        <v>9.7003857789385926</v>
      </c>
      <c r="D66">
        <f t="shared" si="1529"/>
        <v>63</v>
      </c>
      <c r="E66" t="e">
        <f t="shared" si="1520"/>
        <v>#NAME?</v>
      </c>
      <c r="F66" t="e">
        <f t="shared" si="1531"/>
        <v>#NAME?</v>
      </c>
      <c r="V66">
        <f t="shared" si="1521"/>
        <v>63</v>
      </c>
      <c r="W66" t="e">
        <f t="shared" si="1522"/>
        <v>#NAME?</v>
      </c>
      <c r="X66" t="e">
        <f t="shared" si="1523"/>
        <v>#NAME?</v>
      </c>
      <c r="Y66" t="e">
        <f t="shared" si="1524"/>
        <v>#NAME?</v>
      </c>
      <c r="Z66" t="e">
        <f t="shared" si="1512"/>
        <v>#NAME?</v>
      </c>
      <c r="AA66" t="e">
        <f t="shared" si="1525"/>
        <v>#NAME?</v>
      </c>
      <c r="AB66" t="e">
        <f t="shared" si="1526"/>
        <v>#NAME?</v>
      </c>
      <c r="AD66">
        <f t="shared" si="1530"/>
        <v>63</v>
      </c>
      <c r="AE66">
        <f t="shared" si="1527"/>
        <v>9.7003857789385908</v>
      </c>
    </row>
    <row r="67">
      <c r="A67">
        <f t="shared" si="1528"/>
        <v>64</v>
      </c>
      <c r="B67">
        <v>9.8196279939384326</v>
      </c>
      <c r="D67">
        <f t="shared" si="1529"/>
        <v>64</v>
      </c>
      <c r="E67" t="e">
        <f t="shared" si="1520"/>
        <v>#NAME?</v>
      </c>
      <c r="F67" t="e">
        <f t="shared" si="1531"/>
        <v>#NAME?</v>
      </c>
      <c r="V67">
        <f t="shared" si="1521"/>
        <v>64</v>
      </c>
      <c r="W67" t="e">
        <f t="shared" si="1522"/>
        <v>#NAME?</v>
      </c>
      <c r="X67" t="e">
        <f t="shared" si="1523"/>
        <v>#NAME?</v>
      </c>
      <c r="Y67" t="e">
        <f t="shared" si="1524"/>
        <v>#NAME?</v>
      </c>
      <c r="Z67" t="e">
        <f t="shared" si="1512"/>
        <v>#NAME?</v>
      </c>
      <c r="AA67" t="e">
        <f t="shared" si="1525"/>
        <v>#NAME?</v>
      </c>
      <c r="AB67" t="e">
        <f t="shared" si="1526"/>
        <v>#NAME?</v>
      </c>
      <c r="AD67">
        <f t="shared" si="1530"/>
        <v>64</v>
      </c>
      <c r="AE67">
        <f t="shared" si="1527"/>
        <v>9.8196279939384308</v>
      </c>
    </row>
    <row r="68">
      <c r="A68">
        <f t="shared" si="1528"/>
        <v>65</v>
      </c>
      <c r="B68">
        <v>12.357045585234705</v>
      </c>
      <c r="D68">
        <f t="shared" si="1529"/>
        <v>65</v>
      </c>
      <c r="E68" t="e">
        <f t="shared" si="1520"/>
        <v>#NAME?</v>
      </c>
      <c r="F68" t="e">
        <f t="shared" si="1531"/>
        <v>#NAME?</v>
      </c>
      <c r="V68">
        <f t="shared" si="1521"/>
        <v>65</v>
      </c>
      <c r="W68" t="e">
        <f t="shared" si="1522"/>
        <v>#NAME?</v>
      </c>
      <c r="X68" t="e">
        <f t="shared" si="1523"/>
        <v>#NAME?</v>
      </c>
      <c r="Y68" t="e">
        <f t="shared" si="1524"/>
        <v>#NAME?</v>
      </c>
      <c r="Z68" t="e">
        <f t="shared" ref="Z68:Z106" si="1533">J$15</f>
        <v>#NAME?</v>
      </c>
      <c r="AA68" t="e">
        <f t="shared" si="1525"/>
        <v>#NAME?</v>
      </c>
      <c r="AB68" t="e">
        <f t="shared" si="1526"/>
        <v>#NAME?</v>
      </c>
      <c r="AD68">
        <f t="shared" si="1530"/>
        <v>65</v>
      </c>
      <c r="AE68">
        <f t="shared" si="1527"/>
        <v>12.357045585234699</v>
      </c>
    </row>
    <row r="69">
      <c r="A69">
        <f t="shared" si="1528"/>
        <v>66</v>
      </c>
      <c r="B69">
        <v>10.923604414101041</v>
      </c>
      <c r="D69">
        <f t="shared" si="1529"/>
        <v>66</v>
      </c>
      <c r="E69" t="e">
        <f t="shared" si="1520"/>
        <v>#NAME?</v>
      </c>
      <c r="F69" t="e">
        <f t="shared" si="1531"/>
        <v>#NAME?</v>
      </c>
      <c r="V69">
        <f t="shared" si="1521"/>
        <v>66</v>
      </c>
      <c r="W69" t="e">
        <f t="shared" si="1522"/>
        <v>#NAME?</v>
      </c>
      <c r="X69" t="e">
        <f t="shared" si="1523"/>
        <v>#NAME?</v>
      </c>
      <c r="Y69" t="e">
        <f t="shared" si="1524"/>
        <v>#NAME?</v>
      </c>
      <c r="Z69" t="e">
        <f t="shared" si="1533"/>
        <v>#NAME?</v>
      </c>
      <c r="AA69" t="e">
        <f t="shared" si="1525"/>
        <v>#NAME?</v>
      </c>
      <c r="AB69" t="e">
        <f t="shared" si="1526"/>
        <v>#NAME?</v>
      </c>
      <c r="AD69">
        <f t="shared" si="1530"/>
        <v>66</v>
      </c>
      <c r="AE69">
        <f t="shared" si="1527"/>
        <v>10.923604414101</v>
      </c>
    </row>
    <row r="70">
      <c r="A70">
        <f t="shared" si="1528"/>
        <v>67</v>
      </c>
      <c r="B70">
        <v>9.7007658466065791</v>
      </c>
      <c r="D70">
        <f t="shared" si="1529"/>
        <v>67</v>
      </c>
      <c r="E70" t="e">
        <f t="shared" si="1520"/>
        <v>#NAME?</v>
      </c>
      <c r="F70" t="e">
        <f t="shared" si="1531"/>
        <v>#NAME?</v>
      </c>
      <c r="V70">
        <f t="shared" si="1521"/>
        <v>67</v>
      </c>
      <c r="W70" t="e">
        <f t="shared" si="1522"/>
        <v>#NAME?</v>
      </c>
      <c r="X70" t="e">
        <f t="shared" si="1523"/>
        <v>#NAME?</v>
      </c>
      <c r="Y70" t="e">
        <f t="shared" si="1524"/>
        <v>#NAME?</v>
      </c>
      <c r="Z70" t="e">
        <f t="shared" si="1533"/>
        <v>#NAME?</v>
      </c>
      <c r="AA70" t="e">
        <f t="shared" si="1525"/>
        <v>#NAME?</v>
      </c>
      <c r="AB70" t="e">
        <f t="shared" si="1526"/>
        <v>#NAME?</v>
      </c>
      <c r="AD70">
        <f t="shared" si="1530"/>
        <v>67</v>
      </c>
      <c r="AE70">
        <f t="shared" si="1527"/>
        <v>9.7007658466065791</v>
      </c>
    </row>
    <row r="71">
      <c r="A71">
        <f t="shared" si="1528"/>
        <v>68</v>
      </c>
      <c r="B71">
        <v>10.274161064714082</v>
      </c>
      <c r="D71">
        <f t="shared" si="1529"/>
        <v>68</v>
      </c>
      <c r="E71" t="e">
        <f t="shared" si="1520"/>
        <v>#NAME?</v>
      </c>
      <c r="F71" t="e">
        <f t="shared" si="1531"/>
        <v>#NAME?</v>
      </c>
      <c r="V71">
        <f t="shared" si="1521"/>
        <v>68</v>
      </c>
      <c r="W71" t="e">
        <f t="shared" si="1522"/>
        <v>#NAME?</v>
      </c>
      <c r="X71" t="e">
        <f t="shared" si="1523"/>
        <v>#NAME?</v>
      </c>
      <c r="Y71" t="e">
        <f t="shared" si="1524"/>
        <v>#NAME?</v>
      </c>
      <c r="Z71" t="e">
        <f t="shared" si="1533"/>
        <v>#NAME?</v>
      </c>
      <c r="AA71" t="e">
        <f t="shared" si="1525"/>
        <v>#NAME?</v>
      </c>
      <c r="AB71" t="e">
        <f t="shared" si="1526"/>
        <v>#NAME?</v>
      </c>
      <c r="AD71">
        <f t="shared" si="1530"/>
        <v>68</v>
      </c>
      <c r="AE71">
        <f t="shared" si="1527"/>
        <v>10.2741610647141</v>
      </c>
    </row>
    <row r="72">
      <c r="A72">
        <f t="shared" si="1528"/>
        <v>69</v>
      </c>
      <c r="B72">
        <v>9.7560808735559998</v>
      </c>
      <c r="D72">
        <f t="shared" si="1529"/>
        <v>69</v>
      </c>
      <c r="E72" t="e">
        <f t="shared" si="1520"/>
        <v>#NAME?</v>
      </c>
      <c r="F72" t="e">
        <f t="shared" si="1531"/>
        <v>#NAME?</v>
      </c>
      <c r="V72">
        <f t="shared" si="1521"/>
        <v>69</v>
      </c>
      <c r="W72" t="e">
        <f t="shared" si="1522"/>
        <v>#NAME?</v>
      </c>
      <c r="X72" t="e">
        <f t="shared" si="1523"/>
        <v>#NAME?</v>
      </c>
      <c r="Y72" t="e">
        <f t="shared" si="1524"/>
        <v>#NAME?</v>
      </c>
      <c r="Z72" t="e">
        <f t="shared" si="1533"/>
        <v>#NAME?</v>
      </c>
      <c r="AA72" t="e">
        <f t="shared" si="1525"/>
        <v>#NAME?</v>
      </c>
      <c r="AB72" t="e">
        <f t="shared" si="1526"/>
        <v>#NAME?</v>
      </c>
      <c r="AD72">
        <f t="shared" si="1530"/>
        <v>69</v>
      </c>
      <c r="AE72">
        <f t="shared" si="1527"/>
        <v>9.7560808735559998</v>
      </c>
    </row>
    <row r="73">
      <c r="A73">
        <f t="shared" si="1528"/>
        <v>70</v>
      </c>
      <c r="B73">
        <v>9.2877318420515778</v>
      </c>
      <c r="D73">
        <f t="shared" si="1529"/>
        <v>70</v>
      </c>
      <c r="E73" t="e">
        <f t="shared" si="1520"/>
        <v>#NAME?</v>
      </c>
      <c r="F73" t="e">
        <f t="shared" si="1531"/>
        <v>#NAME?</v>
      </c>
      <c r="V73">
        <f t="shared" si="1521"/>
        <v>70</v>
      </c>
      <c r="W73" t="e">
        <f t="shared" si="1522"/>
        <v>#NAME?</v>
      </c>
      <c r="X73" t="e">
        <f t="shared" si="1523"/>
        <v>#NAME?</v>
      </c>
      <c r="Y73" t="e">
        <f t="shared" si="1524"/>
        <v>#NAME?</v>
      </c>
      <c r="Z73" t="e">
        <f t="shared" si="1533"/>
        <v>#NAME?</v>
      </c>
      <c r="AA73" t="e">
        <f t="shared" si="1525"/>
        <v>#NAME?</v>
      </c>
      <c r="AB73" t="e">
        <f t="shared" si="1526"/>
        <v>#NAME?</v>
      </c>
      <c r="AD73">
        <f t="shared" si="1530"/>
        <v>70</v>
      </c>
      <c r="AE73">
        <f t="shared" si="1527"/>
        <v>9.2877318420515795</v>
      </c>
    </row>
    <row r="74">
      <c r="A74">
        <f t="shared" si="1528"/>
        <v>71</v>
      </c>
      <c r="B74">
        <v>8.7948076969057745</v>
      </c>
      <c r="D74">
        <f t="shared" si="1529"/>
        <v>71</v>
      </c>
      <c r="E74" t="e">
        <f t="shared" ref="E74:E97" si="1534">B76-2*B75+B74-J$6</f>
        <v>#NAME?</v>
      </c>
      <c r="F74" t="e">
        <f t="shared" si="1531"/>
        <v>#NAME?</v>
      </c>
      <c r="V74">
        <f t="shared" ref="V74:V99" si="1535">D74</f>
        <v>71</v>
      </c>
      <c r="W74" t="e">
        <f t="shared" ref="W74:W99" si="1536">E74</f>
        <v>#NAME?</v>
      </c>
      <c r="X74" t="e">
        <f t="shared" ref="X74:X99" si="1537">F74</f>
        <v>#NAME?</v>
      </c>
      <c r="Y74" t="e">
        <f t="shared" ref="Y74:Y99" si="1538">W74-X74</f>
        <v>#NAME?</v>
      </c>
      <c r="Z74" t="e">
        <f t="shared" si="1533"/>
        <v>#NAME?</v>
      </c>
      <c r="AA74" t="e">
        <f t="shared" ref="AA74:AA99" si="1539">Y74-NORMSINV(1-Z$2/2)*Z74</f>
        <v>#NAME?</v>
      </c>
      <c r="AB74" t="e">
        <f t="shared" ref="AB74:AB99" si="1540">Y74+NORMSINV(1-Z$2/2)*Z74</f>
        <v>#NAME?</v>
      </c>
      <c r="AD74">
        <f t="shared" si="1530"/>
        <v>71</v>
      </c>
      <c r="AE74">
        <f t="shared" ref="AE74:AE99" si="1541">B74</f>
        <v>8.7948076969057798</v>
      </c>
    </row>
    <row r="75">
      <c r="A75">
        <f t="shared" ref="A75:A100" si="1542">A74+1</f>
        <v>72</v>
      </c>
      <c r="B75">
        <v>9.9521659452576507</v>
      </c>
      <c r="D75">
        <f t="shared" ref="D75:D100" si="1543">D74+1</f>
        <v>72</v>
      </c>
      <c r="E75" t="e">
        <f t="shared" si="1534"/>
        <v>#NAME?</v>
      </c>
      <c r="F75" t="e">
        <f t="shared" si="1531"/>
        <v>#NAME?</v>
      </c>
      <c r="V75">
        <f t="shared" si="1535"/>
        <v>72</v>
      </c>
      <c r="W75" t="e">
        <f t="shared" si="1536"/>
        <v>#NAME?</v>
      </c>
      <c r="X75" t="e">
        <f t="shared" si="1537"/>
        <v>#NAME?</v>
      </c>
      <c r="Y75" t="e">
        <f t="shared" si="1538"/>
        <v>#NAME?</v>
      </c>
      <c r="Z75" t="e">
        <f t="shared" si="1533"/>
        <v>#NAME?</v>
      </c>
      <c r="AA75" t="e">
        <f t="shared" si="1539"/>
        <v>#NAME?</v>
      </c>
      <c r="AB75" t="e">
        <f t="shared" si="1540"/>
        <v>#NAME?</v>
      </c>
      <c r="AD75">
        <f t="shared" ref="AD75:AD100" si="1544">AD74+1</f>
        <v>72</v>
      </c>
      <c r="AE75">
        <f t="shared" si="1541"/>
        <v>9.9521659452576507</v>
      </c>
    </row>
    <row r="76">
      <c r="A76">
        <f t="shared" si="1542"/>
        <v>73</v>
      </c>
      <c r="B76">
        <v>9.1465177932835449</v>
      </c>
      <c r="D76">
        <f t="shared" si="1543"/>
        <v>73</v>
      </c>
      <c r="E76" t="e">
        <f t="shared" si="1534"/>
        <v>#NAME?</v>
      </c>
      <c r="F76" t="e">
        <f t="shared" ref="F76:F99" si="1545">E76-SUMPRODUCT(E74:E75,I$4:I$5)-SUMPRODUCT(F75,J$5)</f>
        <v>#NAME?</v>
      </c>
      <c r="V76">
        <f t="shared" si="1535"/>
        <v>73</v>
      </c>
      <c r="W76" t="e">
        <f t="shared" si="1536"/>
        <v>#NAME?</v>
      </c>
      <c r="X76" t="e">
        <f t="shared" si="1537"/>
        <v>#NAME?</v>
      </c>
      <c r="Y76" t="e">
        <f t="shared" si="1538"/>
        <v>#NAME?</v>
      </c>
      <c r="Z76" t="e">
        <f t="shared" si="1533"/>
        <v>#NAME?</v>
      </c>
      <c r="AA76" t="e">
        <f t="shared" si="1539"/>
        <v>#NAME?</v>
      </c>
      <c r="AB76" t="e">
        <f t="shared" si="1540"/>
        <v>#NAME?</v>
      </c>
      <c r="AD76">
        <f t="shared" si="1544"/>
        <v>73</v>
      </c>
      <c r="AE76">
        <f t="shared" si="1541"/>
        <v>9.1465177932835502</v>
      </c>
    </row>
    <row r="77">
      <c r="A77">
        <f t="shared" si="1542"/>
        <v>74</v>
      </c>
      <c r="B77">
        <v>8.4120728228094741</v>
      </c>
      <c r="D77">
        <f t="shared" si="1543"/>
        <v>74</v>
      </c>
      <c r="E77" t="e">
        <f t="shared" si="1534"/>
        <v>#NAME?</v>
      </c>
      <c r="F77" t="e">
        <f t="shared" si="1545"/>
        <v>#NAME?</v>
      </c>
      <c r="V77">
        <f t="shared" si="1535"/>
        <v>74</v>
      </c>
      <c r="W77" t="e">
        <f t="shared" si="1536"/>
        <v>#NAME?</v>
      </c>
      <c r="X77" t="e">
        <f t="shared" si="1537"/>
        <v>#NAME?</v>
      </c>
      <c r="Y77" t="e">
        <f t="shared" si="1538"/>
        <v>#NAME?</v>
      </c>
      <c r="Z77" t="e">
        <f t="shared" si="1533"/>
        <v>#NAME?</v>
      </c>
      <c r="AA77" t="e">
        <f t="shared" si="1539"/>
        <v>#NAME?</v>
      </c>
      <c r="AB77" t="e">
        <f t="shared" si="1540"/>
        <v>#NAME?</v>
      </c>
      <c r="AD77">
        <f t="shared" si="1544"/>
        <v>74</v>
      </c>
      <c r="AE77">
        <f t="shared" si="1541"/>
        <v>8.4120728228094794</v>
      </c>
    </row>
    <row r="78">
      <c r="A78">
        <f t="shared" si="1542"/>
        <v>75</v>
      </c>
      <c r="B78">
        <v>9.7238473406247508</v>
      </c>
      <c r="D78">
        <f t="shared" si="1543"/>
        <v>75</v>
      </c>
      <c r="E78" t="e">
        <f t="shared" si="1534"/>
        <v>#NAME?</v>
      </c>
      <c r="F78" t="e">
        <f t="shared" si="1545"/>
        <v>#NAME?</v>
      </c>
      <c r="V78">
        <f t="shared" si="1535"/>
        <v>75</v>
      </c>
      <c r="W78" t="e">
        <f t="shared" si="1536"/>
        <v>#NAME?</v>
      </c>
      <c r="X78" t="e">
        <f t="shared" si="1537"/>
        <v>#NAME?</v>
      </c>
      <c r="Y78" t="e">
        <f t="shared" si="1538"/>
        <v>#NAME?</v>
      </c>
      <c r="Z78" t="e">
        <f t="shared" si="1533"/>
        <v>#NAME?</v>
      </c>
      <c r="AA78" t="e">
        <f t="shared" si="1539"/>
        <v>#NAME?</v>
      </c>
      <c r="AB78" t="e">
        <f t="shared" si="1540"/>
        <v>#NAME?</v>
      </c>
      <c r="AD78">
        <f t="shared" si="1544"/>
        <v>75</v>
      </c>
      <c r="AE78">
        <f t="shared" si="1541"/>
        <v>9.7238473406247508</v>
      </c>
    </row>
    <row r="79">
      <c r="A79">
        <f t="shared" si="1542"/>
        <v>76</v>
      </c>
      <c r="B79">
        <v>8.4487887533605956</v>
      </c>
      <c r="D79">
        <f t="shared" si="1543"/>
        <v>76</v>
      </c>
      <c r="E79" t="e">
        <f t="shared" si="1534"/>
        <v>#NAME?</v>
      </c>
      <c r="F79" t="e">
        <f t="shared" si="1545"/>
        <v>#NAME?</v>
      </c>
      <c r="V79">
        <f t="shared" si="1535"/>
        <v>76</v>
      </c>
      <c r="W79" t="e">
        <f t="shared" si="1536"/>
        <v>#NAME?</v>
      </c>
      <c r="X79" t="e">
        <f t="shared" si="1537"/>
        <v>#NAME?</v>
      </c>
      <c r="Y79" t="e">
        <f t="shared" si="1538"/>
        <v>#NAME?</v>
      </c>
      <c r="Z79" t="e">
        <f t="shared" si="1533"/>
        <v>#NAME?</v>
      </c>
      <c r="AA79" t="e">
        <f t="shared" si="1539"/>
        <v>#NAME?</v>
      </c>
      <c r="AB79" t="e">
        <f t="shared" si="1540"/>
        <v>#NAME?</v>
      </c>
      <c r="AD79">
        <f t="shared" si="1544"/>
        <v>76</v>
      </c>
      <c r="AE79">
        <f t="shared" si="1541"/>
        <v>8.4487887533605992</v>
      </c>
    </row>
    <row r="80">
      <c r="A80">
        <f t="shared" si="1542"/>
        <v>77</v>
      </c>
      <c r="B80">
        <v>9.3091696279858969</v>
      </c>
      <c r="D80">
        <f t="shared" si="1543"/>
        <v>77</v>
      </c>
      <c r="E80" t="e">
        <f t="shared" si="1534"/>
        <v>#NAME?</v>
      </c>
      <c r="F80" t="e">
        <f t="shared" si="1545"/>
        <v>#NAME?</v>
      </c>
      <c r="V80">
        <f t="shared" si="1535"/>
        <v>77</v>
      </c>
      <c r="W80" t="e">
        <f t="shared" si="1536"/>
        <v>#NAME?</v>
      </c>
      <c r="X80" t="e">
        <f t="shared" si="1537"/>
        <v>#NAME?</v>
      </c>
      <c r="Y80" t="e">
        <f t="shared" si="1538"/>
        <v>#NAME?</v>
      </c>
      <c r="Z80" t="e">
        <f t="shared" si="1533"/>
        <v>#NAME?</v>
      </c>
      <c r="AA80" t="e">
        <f t="shared" si="1539"/>
        <v>#NAME?</v>
      </c>
      <c r="AB80" t="e">
        <f t="shared" si="1540"/>
        <v>#NAME?</v>
      </c>
      <c r="AD80">
        <f t="shared" si="1544"/>
        <v>77</v>
      </c>
      <c r="AE80">
        <f t="shared" si="1541"/>
        <v>9.3091696279859004</v>
      </c>
    </row>
    <row r="81">
      <c r="A81">
        <f t="shared" si="1542"/>
        <v>78</v>
      </c>
      <c r="B81">
        <v>9.6290950722323778</v>
      </c>
      <c r="D81">
        <f t="shared" si="1543"/>
        <v>78</v>
      </c>
      <c r="E81" t="e">
        <f t="shared" si="1534"/>
        <v>#NAME?</v>
      </c>
      <c r="F81" t="e">
        <f t="shared" si="1545"/>
        <v>#NAME?</v>
      </c>
      <c r="V81">
        <f t="shared" si="1535"/>
        <v>78</v>
      </c>
      <c r="W81" t="e">
        <f t="shared" si="1536"/>
        <v>#NAME?</v>
      </c>
      <c r="X81" t="e">
        <f t="shared" si="1537"/>
        <v>#NAME?</v>
      </c>
      <c r="Y81" t="e">
        <f t="shared" si="1538"/>
        <v>#NAME?</v>
      </c>
      <c r="Z81" t="e">
        <f t="shared" si="1533"/>
        <v>#NAME?</v>
      </c>
      <c r="AA81" t="e">
        <f t="shared" si="1539"/>
        <v>#NAME?</v>
      </c>
      <c r="AB81" t="e">
        <f t="shared" si="1540"/>
        <v>#NAME?</v>
      </c>
      <c r="AD81">
        <f t="shared" si="1544"/>
        <v>78</v>
      </c>
      <c r="AE81">
        <f t="shared" si="1541"/>
        <v>9.6290950722323796</v>
      </c>
    </row>
    <row r="82">
      <c r="A82">
        <f t="shared" si="1542"/>
        <v>79</v>
      </c>
      <c r="B82">
        <v>10.498754342121549</v>
      </c>
      <c r="D82">
        <f t="shared" si="1543"/>
        <v>79</v>
      </c>
      <c r="E82" t="e">
        <f t="shared" si="1534"/>
        <v>#NAME?</v>
      </c>
      <c r="F82" t="e">
        <f t="shared" si="1545"/>
        <v>#NAME?</v>
      </c>
      <c r="V82">
        <f t="shared" si="1535"/>
        <v>79</v>
      </c>
      <c r="W82" t="e">
        <f t="shared" si="1536"/>
        <v>#NAME?</v>
      </c>
      <c r="X82" t="e">
        <f t="shared" si="1537"/>
        <v>#NAME?</v>
      </c>
      <c r="Y82" t="e">
        <f t="shared" si="1538"/>
        <v>#NAME?</v>
      </c>
      <c r="Z82" t="e">
        <f t="shared" si="1533"/>
        <v>#NAME?</v>
      </c>
      <c r="AA82" t="e">
        <f t="shared" si="1539"/>
        <v>#NAME?</v>
      </c>
      <c r="AB82" t="e">
        <f t="shared" si="1540"/>
        <v>#NAME?</v>
      </c>
      <c r="AD82">
        <f t="shared" si="1544"/>
        <v>79</v>
      </c>
      <c r="AE82">
        <f t="shared" si="1541"/>
        <v>10.4987543421216</v>
      </c>
    </row>
    <row r="83">
      <c r="A83">
        <f t="shared" si="1542"/>
        <v>80</v>
      </c>
      <c r="B83">
        <v>8.1345560346257617</v>
      </c>
      <c r="D83">
        <f t="shared" si="1543"/>
        <v>80</v>
      </c>
      <c r="E83" t="e">
        <f t="shared" si="1534"/>
        <v>#NAME?</v>
      </c>
      <c r="F83" t="e">
        <f t="shared" si="1545"/>
        <v>#NAME?</v>
      </c>
      <c r="V83">
        <f t="shared" si="1535"/>
        <v>80</v>
      </c>
      <c r="W83" t="e">
        <f t="shared" si="1536"/>
        <v>#NAME?</v>
      </c>
      <c r="X83" t="e">
        <f t="shared" si="1537"/>
        <v>#NAME?</v>
      </c>
      <c r="Y83" t="e">
        <f t="shared" si="1538"/>
        <v>#NAME?</v>
      </c>
      <c r="Z83" t="e">
        <f t="shared" si="1533"/>
        <v>#NAME?</v>
      </c>
      <c r="AA83" t="e">
        <f t="shared" si="1539"/>
        <v>#NAME?</v>
      </c>
      <c r="AB83" t="e">
        <f t="shared" si="1540"/>
        <v>#NAME?</v>
      </c>
      <c r="AD83">
        <f t="shared" si="1544"/>
        <v>80</v>
      </c>
      <c r="AE83">
        <f t="shared" si="1541"/>
        <v>8.1345560346257599</v>
      </c>
    </row>
    <row r="84">
      <c r="A84">
        <f t="shared" si="1542"/>
        <v>81</v>
      </c>
      <c r="B84">
        <v>9.155183562363236</v>
      </c>
      <c r="D84">
        <f t="shared" si="1543"/>
        <v>81</v>
      </c>
      <c r="E84" t="e">
        <f t="shared" si="1534"/>
        <v>#NAME?</v>
      </c>
      <c r="F84" t="e">
        <f t="shared" si="1545"/>
        <v>#NAME?</v>
      </c>
      <c r="V84">
        <f t="shared" si="1535"/>
        <v>81</v>
      </c>
      <c r="W84" t="e">
        <f t="shared" si="1536"/>
        <v>#NAME?</v>
      </c>
      <c r="X84" t="e">
        <f t="shared" si="1537"/>
        <v>#NAME?</v>
      </c>
      <c r="Y84" t="e">
        <f t="shared" si="1538"/>
        <v>#NAME?</v>
      </c>
      <c r="Z84" t="e">
        <f t="shared" si="1533"/>
        <v>#NAME?</v>
      </c>
      <c r="AA84" t="e">
        <f t="shared" si="1539"/>
        <v>#NAME?</v>
      </c>
      <c r="AB84" t="e">
        <f t="shared" si="1540"/>
        <v>#NAME?</v>
      </c>
      <c r="AD84">
        <f t="shared" si="1544"/>
        <v>81</v>
      </c>
      <c r="AE84">
        <f t="shared" si="1541"/>
        <v>9.1551835623632396</v>
      </c>
    </row>
    <row r="85">
      <c r="A85">
        <f t="shared" si="1542"/>
        <v>82</v>
      </c>
      <c r="B85">
        <v>7.9920854400738497</v>
      </c>
      <c r="D85">
        <f t="shared" si="1543"/>
        <v>82</v>
      </c>
      <c r="E85" t="e">
        <f t="shared" si="1534"/>
        <v>#NAME?</v>
      </c>
      <c r="F85" t="e">
        <f t="shared" si="1545"/>
        <v>#NAME?</v>
      </c>
      <c r="V85">
        <f t="shared" si="1535"/>
        <v>82</v>
      </c>
      <c r="W85" t="e">
        <f t="shared" si="1536"/>
        <v>#NAME?</v>
      </c>
      <c r="X85" t="e">
        <f t="shared" si="1537"/>
        <v>#NAME?</v>
      </c>
      <c r="Y85" t="e">
        <f t="shared" si="1538"/>
        <v>#NAME?</v>
      </c>
      <c r="Z85" t="e">
        <f t="shared" si="1533"/>
        <v>#NAME?</v>
      </c>
      <c r="AA85" t="e">
        <f t="shared" si="1539"/>
        <v>#NAME?</v>
      </c>
      <c r="AB85" t="e">
        <f t="shared" si="1540"/>
        <v>#NAME?</v>
      </c>
      <c r="AD85">
        <f t="shared" si="1544"/>
        <v>82</v>
      </c>
      <c r="AE85">
        <f t="shared" si="1541"/>
        <v>7.9920854400738497</v>
      </c>
    </row>
    <row r="86">
      <c r="A86">
        <f t="shared" si="1542"/>
        <v>83</v>
      </c>
      <c r="B86">
        <v>10.439526996669359</v>
      </c>
      <c r="D86">
        <f t="shared" si="1543"/>
        <v>83</v>
      </c>
      <c r="E86" t="e">
        <f t="shared" si="1534"/>
        <v>#NAME?</v>
      </c>
      <c r="F86" t="e">
        <f t="shared" si="1545"/>
        <v>#NAME?</v>
      </c>
      <c r="V86">
        <f t="shared" si="1535"/>
        <v>83</v>
      </c>
      <c r="W86" t="e">
        <f t="shared" si="1536"/>
        <v>#NAME?</v>
      </c>
      <c r="X86" t="e">
        <f t="shared" si="1537"/>
        <v>#NAME?</v>
      </c>
      <c r="Y86" t="e">
        <f t="shared" si="1538"/>
        <v>#NAME?</v>
      </c>
      <c r="Z86" t="e">
        <f t="shared" si="1533"/>
        <v>#NAME?</v>
      </c>
      <c r="AA86" t="e">
        <f t="shared" si="1539"/>
        <v>#NAME?</v>
      </c>
      <c r="AB86" t="e">
        <f t="shared" si="1540"/>
        <v>#NAME?</v>
      </c>
      <c r="AD86">
        <f t="shared" si="1544"/>
        <v>83</v>
      </c>
      <c r="AE86">
        <f t="shared" si="1541"/>
        <v>10.4395269966694</v>
      </c>
    </row>
    <row r="87">
      <c r="A87">
        <f t="shared" si="1542"/>
        <v>84</v>
      </c>
      <c r="B87">
        <v>11.175252728421924</v>
      </c>
      <c r="D87">
        <f t="shared" si="1543"/>
        <v>84</v>
      </c>
      <c r="E87" t="e">
        <f t="shared" si="1534"/>
        <v>#NAME?</v>
      </c>
      <c r="F87" t="e">
        <f t="shared" si="1545"/>
        <v>#NAME?</v>
      </c>
      <c r="V87">
        <f t="shared" si="1535"/>
        <v>84</v>
      </c>
      <c r="W87" t="e">
        <f t="shared" si="1536"/>
        <v>#NAME?</v>
      </c>
      <c r="X87" t="e">
        <f t="shared" si="1537"/>
        <v>#NAME?</v>
      </c>
      <c r="Y87" t="e">
        <f t="shared" si="1538"/>
        <v>#NAME?</v>
      </c>
      <c r="Z87" t="e">
        <f t="shared" si="1533"/>
        <v>#NAME?</v>
      </c>
      <c r="AA87" t="e">
        <f t="shared" si="1539"/>
        <v>#NAME?</v>
      </c>
      <c r="AB87" t="e">
        <f t="shared" si="1540"/>
        <v>#NAME?</v>
      </c>
      <c r="AD87">
        <f t="shared" si="1544"/>
        <v>84</v>
      </c>
      <c r="AE87">
        <f t="shared" si="1541"/>
        <v>11.175252728421899</v>
      </c>
    </row>
    <row r="88">
      <c r="A88">
        <f t="shared" si="1542"/>
        <v>85</v>
      </c>
      <c r="B88">
        <v>9.9215034890634719</v>
      </c>
      <c r="D88">
        <f t="shared" si="1543"/>
        <v>85</v>
      </c>
      <c r="E88" t="e">
        <f t="shared" si="1534"/>
        <v>#NAME?</v>
      </c>
      <c r="F88" t="e">
        <f t="shared" si="1545"/>
        <v>#NAME?</v>
      </c>
      <c r="V88">
        <f t="shared" si="1535"/>
        <v>85</v>
      </c>
      <c r="W88" t="e">
        <f t="shared" si="1536"/>
        <v>#NAME?</v>
      </c>
      <c r="X88" t="e">
        <f t="shared" si="1537"/>
        <v>#NAME?</v>
      </c>
      <c r="Y88" t="e">
        <f t="shared" si="1538"/>
        <v>#NAME?</v>
      </c>
      <c r="Z88" t="e">
        <f t="shared" si="1533"/>
        <v>#NAME?</v>
      </c>
      <c r="AA88" t="e">
        <f t="shared" si="1539"/>
        <v>#NAME?</v>
      </c>
      <c r="AB88" t="e">
        <f t="shared" si="1540"/>
        <v>#NAME?</v>
      </c>
      <c r="AD88">
        <f t="shared" si="1544"/>
        <v>85</v>
      </c>
      <c r="AE88">
        <f t="shared" si="1541"/>
        <v>9.9215034890634701</v>
      </c>
    </row>
    <row r="89">
      <c r="A89">
        <f t="shared" si="1542"/>
        <v>86</v>
      </c>
      <c r="B89">
        <v>10.653018863925139</v>
      </c>
      <c r="D89">
        <f t="shared" si="1543"/>
        <v>86</v>
      </c>
      <c r="E89" t="e">
        <f t="shared" si="1534"/>
        <v>#NAME?</v>
      </c>
      <c r="F89" t="e">
        <f t="shared" si="1545"/>
        <v>#NAME?</v>
      </c>
      <c r="V89">
        <f t="shared" si="1535"/>
        <v>86</v>
      </c>
      <c r="W89" t="e">
        <f t="shared" si="1536"/>
        <v>#NAME?</v>
      </c>
      <c r="X89" t="e">
        <f t="shared" si="1537"/>
        <v>#NAME?</v>
      </c>
      <c r="Y89" t="e">
        <f t="shared" si="1538"/>
        <v>#NAME?</v>
      </c>
      <c r="Z89" t="e">
        <f t="shared" si="1533"/>
        <v>#NAME?</v>
      </c>
      <c r="AA89" t="e">
        <f t="shared" si="1539"/>
        <v>#NAME?</v>
      </c>
      <c r="AB89" t="e">
        <f t="shared" si="1540"/>
        <v>#NAME?</v>
      </c>
      <c r="AD89">
        <f t="shared" si="1544"/>
        <v>86</v>
      </c>
      <c r="AE89">
        <f t="shared" si="1541"/>
        <v>10.6530188639251</v>
      </c>
    </row>
    <row r="90">
      <c r="A90">
        <f t="shared" si="1542"/>
        <v>87</v>
      </c>
      <c r="B90">
        <v>10.300965035959743</v>
      </c>
      <c r="D90">
        <f t="shared" si="1543"/>
        <v>87</v>
      </c>
      <c r="E90" t="e">
        <f t="shared" si="1534"/>
        <v>#NAME?</v>
      </c>
      <c r="F90" t="e">
        <f t="shared" si="1545"/>
        <v>#NAME?</v>
      </c>
      <c r="V90">
        <f t="shared" si="1535"/>
        <v>87</v>
      </c>
      <c r="W90" t="e">
        <f t="shared" si="1536"/>
        <v>#NAME?</v>
      </c>
      <c r="X90" t="e">
        <f t="shared" si="1537"/>
        <v>#NAME?</v>
      </c>
      <c r="Y90" t="e">
        <f t="shared" si="1538"/>
        <v>#NAME?</v>
      </c>
      <c r="Z90" t="e">
        <f t="shared" si="1533"/>
        <v>#NAME?</v>
      </c>
      <c r="AA90" t="e">
        <f t="shared" si="1539"/>
        <v>#NAME?</v>
      </c>
      <c r="AB90" t="e">
        <f t="shared" si="1540"/>
        <v>#NAME?</v>
      </c>
      <c r="AD90">
        <f t="shared" si="1544"/>
        <v>87</v>
      </c>
      <c r="AE90">
        <f t="shared" si="1541"/>
        <v>10.300965035959701</v>
      </c>
    </row>
    <row r="91">
      <c r="A91">
        <f t="shared" si="1542"/>
        <v>88</v>
      </c>
      <c r="B91">
        <v>9.322711642040451</v>
      </c>
      <c r="D91">
        <f t="shared" si="1543"/>
        <v>88</v>
      </c>
      <c r="E91" t="e">
        <f t="shared" si="1534"/>
        <v>#NAME?</v>
      </c>
      <c r="F91" t="e">
        <f t="shared" si="1545"/>
        <v>#NAME?</v>
      </c>
      <c r="V91">
        <f t="shared" si="1535"/>
        <v>88</v>
      </c>
      <c r="W91" t="e">
        <f t="shared" si="1536"/>
        <v>#NAME?</v>
      </c>
      <c r="X91" t="e">
        <f t="shared" si="1537"/>
        <v>#NAME?</v>
      </c>
      <c r="Y91" t="e">
        <f t="shared" si="1538"/>
        <v>#NAME?</v>
      </c>
      <c r="Z91" t="e">
        <f t="shared" si="1533"/>
        <v>#NAME?</v>
      </c>
      <c r="AA91" t="e">
        <f t="shared" si="1539"/>
        <v>#NAME?</v>
      </c>
      <c r="AB91" t="e">
        <f t="shared" si="1540"/>
        <v>#NAME?</v>
      </c>
      <c r="AD91">
        <f t="shared" si="1544"/>
        <v>88</v>
      </c>
      <c r="AE91">
        <f t="shared" si="1541"/>
        <v>9.3227116420404492</v>
      </c>
    </row>
    <row r="92">
      <c r="A92">
        <f t="shared" si="1542"/>
        <v>89</v>
      </c>
      <c r="B92">
        <v>11.208496897982</v>
      </c>
      <c r="D92">
        <f t="shared" si="1543"/>
        <v>89</v>
      </c>
      <c r="E92" t="e">
        <f t="shared" si="1534"/>
        <v>#NAME?</v>
      </c>
      <c r="F92" t="e">
        <f t="shared" si="1545"/>
        <v>#NAME?</v>
      </c>
      <c r="V92">
        <f t="shared" si="1535"/>
        <v>89</v>
      </c>
      <c r="W92" t="e">
        <f t="shared" si="1536"/>
        <v>#NAME?</v>
      </c>
      <c r="X92" t="e">
        <f t="shared" si="1537"/>
        <v>#NAME?</v>
      </c>
      <c r="Y92" t="e">
        <f t="shared" si="1538"/>
        <v>#NAME?</v>
      </c>
      <c r="Z92" t="e">
        <f t="shared" si="1533"/>
        <v>#NAME?</v>
      </c>
      <c r="AA92" t="e">
        <f t="shared" si="1539"/>
        <v>#NAME?</v>
      </c>
      <c r="AB92" t="e">
        <f t="shared" si="1540"/>
        <v>#NAME?</v>
      </c>
      <c r="AD92">
        <f t="shared" si="1544"/>
        <v>89</v>
      </c>
      <c r="AE92">
        <f t="shared" si="1541"/>
        <v>11.208496897982</v>
      </c>
    </row>
    <row r="93">
      <c r="A93">
        <f t="shared" si="1542"/>
        <v>90</v>
      </c>
      <c r="B93">
        <v>9.8337122512150561</v>
      </c>
      <c r="D93">
        <f t="shared" si="1543"/>
        <v>90</v>
      </c>
      <c r="E93" t="e">
        <f t="shared" si="1534"/>
        <v>#NAME?</v>
      </c>
      <c r="F93" t="e">
        <f t="shared" si="1545"/>
        <v>#NAME?</v>
      </c>
      <c r="V93">
        <f t="shared" si="1535"/>
        <v>90</v>
      </c>
      <c r="W93" t="e">
        <f t="shared" si="1536"/>
        <v>#NAME?</v>
      </c>
      <c r="X93" t="e">
        <f t="shared" si="1537"/>
        <v>#NAME?</v>
      </c>
      <c r="Y93" t="e">
        <f t="shared" si="1538"/>
        <v>#NAME?</v>
      </c>
      <c r="Z93" t="e">
        <f t="shared" si="1533"/>
        <v>#NAME?</v>
      </c>
      <c r="AA93" t="e">
        <f t="shared" si="1539"/>
        <v>#NAME?</v>
      </c>
      <c r="AB93" t="e">
        <f t="shared" si="1540"/>
        <v>#NAME?</v>
      </c>
      <c r="AD93">
        <f t="shared" si="1544"/>
        <v>90</v>
      </c>
      <c r="AE93">
        <f t="shared" si="1541"/>
        <v>9.8337122512150597</v>
      </c>
    </row>
    <row r="94">
      <c r="A94">
        <f t="shared" si="1542"/>
        <v>91</v>
      </c>
      <c r="B94">
        <v>11.009228904367124</v>
      </c>
      <c r="D94">
        <f t="shared" si="1543"/>
        <v>91</v>
      </c>
      <c r="E94" t="e">
        <f t="shared" si="1534"/>
        <v>#NAME?</v>
      </c>
      <c r="F94" t="e">
        <f t="shared" si="1545"/>
        <v>#NAME?</v>
      </c>
      <c r="V94">
        <f t="shared" si="1535"/>
        <v>91</v>
      </c>
      <c r="W94" t="e">
        <f t="shared" si="1536"/>
        <v>#NAME?</v>
      </c>
      <c r="X94" t="e">
        <f t="shared" si="1537"/>
        <v>#NAME?</v>
      </c>
      <c r="Y94" t="e">
        <f t="shared" si="1538"/>
        <v>#NAME?</v>
      </c>
      <c r="Z94" t="e">
        <f t="shared" si="1533"/>
        <v>#NAME?</v>
      </c>
      <c r="AA94" t="e">
        <f t="shared" si="1539"/>
        <v>#NAME?</v>
      </c>
      <c r="AB94" t="e">
        <f t="shared" si="1540"/>
        <v>#NAME?</v>
      </c>
      <c r="AD94">
        <f t="shared" si="1544"/>
        <v>91</v>
      </c>
      <c r="AE94">
        <f t="shared" si="1541"/>
        <v>11.009228904367101</v>
      </c>
    </row>
    <row r="95">
      <c r="A95">
        <f t="shared" si="1542"/>
        <v>92</v>
      </c>
      <c r="B95">
        <v>9.672211664259164</v>
      </c>
      <c r="D95">
        <f t="shared" si="1543"/>
        <v>92</v>
      </c>
      <c r="E95" t="e">
        <f t="shared" si="1534"/>
        <v>#NAME?</v>
      </c>
      <c r="F95" t="e">
        <f t="shared" si="1545"/>
        <v>#NAME?</v>
      </c>
      <c r="V95">
        <f t="shared" si="1535"/>
        <v>92</v>
      </c>
      <c r="W95" t="e">
        <f t="shared" si="1536"/>
        <v>#NAME?</v>
      </c>
      <c r="X95" t="e">
        <f t="shared" si="1537"/>
        <v>#NAME?</v>
      </c>
      <c r="Y95" t="e">
        <f t="shared" si="1538"/>
        <v>#NAME?</v>
      </c>
      <c r="Z95" t="e">
        <f t="shared" si="1533"/>
        <v>#NAME?</v>
      </c>
      <c r="AA95" t="e">
        <f t="shared" si="1539"/>
        <v>#NAME?</v>
      </c>
      <c r="AB95" t="e">
        <f t="shared" si="1540"/>
        <v>#NAME?</v>
      </c>
      <c r="AD95">
        <f t="shared" si="1544"/>
        <v>92</v>
      </c>
      <c r="AE95">
        <f t="shared" si="1541"/>
        <v>9.6722116642591693</v>
      </c>
    </row>
    <row r="96">
      <c r="A96">
        <f t="shared" si="1542"/>
        <v>93</v>
      </c>
      <c r="B96">
        <v>8.0220551654262664</v>
      </c>
      <c r="D96">
        <f t="shared" si="1543"/>
        <v>93</v>
      </c>
      <c r="E96" t="e">
        <f t="shared" si="1534"/>
        <v>#NAME?</v>
      </c>
      <c r="F96" t="e">
        <f t="shared" si="1545"/>
        <v>#NAME?</v>
      </c>
      <c r="V96">
        <f t="shared" si="1535"/>
        <v>93</v>
      </c>
      <c r="W96" t="e">
        <f t="shared" si="1536"/>
        <v>#NAME?</v>
      </c>
      <c r="X96" t="e">
        <f t="shared" si="1537"/>
        <v>#NAME?</v>
      </c>
      <c r="Y96" t="e">
        <f t="shared" si="1538"/>
        <v>#NAME?</v>
      </c>
      <c r="Z96" t="e">
        <f t="shared" si="1533"/>
        <v>#NAME?</v>
      </c>
      <c r="AA96" t="e">
        <f t="shared" si="1539"/>
        <v>#NAME?</v>
      </c>
      <c r="AB96" t="e">
        <f t="shared" si="1540"/>
        <v>#NAME?</v>
      </c>
      <c r="AD96">
        <f t="shared" si="1544"/>
        <v>93</v>
      </c>
      <c r="AE96">
        <f t="shared" si="1541"/>
        <v>8.02205516542627</v>
      </c>
    </row>
    <row r="97">
      <c r="A97">
        <f t="shared" si="1542"/>
        <v>94</v>
      </c>
      <c r="B97">
        <v>9.1001604867082797</v>
      </c>
      <c r="D97">
        <f t="shared" si="1543"/>
        <v>94</v>
      </c>
      <c r="E97" t="e">
        <f t="shared" si="1534"/>
        <v>#NAME?</v>
      </c>
      <c r="F97" t="e">
        <f t="shared" si="1545"/>
        <v>#NAME?</v>
      </c>
      <c r="V97">
        <f t="shared" si="1535"/>
        <v>94</v>
      </c>
      <c r="W97" t="e">
        <f t="shared" si="1536"/>
        <v>#NAME?</v>
      </c>
      <c r="X97" t="e">
        <f t="shared" si="1537"/>
        <v>#NAME?</v>
      </c>
      <c r="Y97" t="e">
        <f t="shared" si="1538"/>
        <v>#NAME?</v>
      </c>
      <c r="Z97" t="e">
        <f t="shared" si="1533"/>
        <v>#NAME?</v>
      </c>
      <c r="AA97" t="e">
        <f t="shared" si="1539"/>
        <v>#NAME?</v>
      </c>
      <c r="AB97" t="e">
        <f t="shared" si="1540"/>
        <v>#NAME?</v>
      </c>
      <c r="AD97">
        <f t="shared" si="1544"/>
        <v>94</v>
      </c>
      <c r="AE97">
        <f t="shared" si="1541"/>
        <v>9.1001604867082797</v>
      </c>
    </row>
    <row r="98">
      <c r="A98">
        <f t="shared" si="1542"/>
        <v>95</v>
      </c>
      <c r="B98">
        <v>10.293563569831946</v>
      </c>
      <c r="D98">
        <f t="shared" si="1543"/>
        <v>95</v>
      </c>
      <c r="E98" t="e">
        <f>B100-2*B99+B98-J$6</f>
        <v>#NAME?</v>
      </c>
      <c r="F98" t="e">
        <f t="shared" si="1545"/>
        <v>#NAME?</v>
      </c>
      <c r="V98">
        <f t="shared" si="1535"/>
        <v>95</v>
      </c>
      <c r="W98" t="e">
        <f t="shared" si="1536"/>
        <v>#NAME?</v>
      </c>
      <c r="X98" t="e">
        <f t="shared" si="1537"/>
        <v>#NAME?</v>
      </c>
      <c r="Y98" t="e">
        <f t="shared" si="1538"/>
        <v>#NAME?</v>
      </c>
      <c r="Z98" t="e">
        <f t="shared" si="1533"/>
        <v>#NAME?</v>
      </c>
      <c r="AA98" t="e">
        <f t="shared" si="1539"/>
        <v>#NAME?</v>
      </c>
      <c r="AB98" t="e">
        <f t="shared" si="1540"/>
        <v>#NAME?</v>
      </c>
      <c r="AD98">
        <f t="shared" si="1544"/>
        <v>95</v>
      </c>
      <c r="AE98">
        <f t="shared" si="1541"/>
        <v>10.2935635698319</v>
      </c>
    </row>
    <row r="99">
      <c r="A99">
        <f t="shared" si="1542"/>
        <v>96</v>
      </c>
      <c r="B99">
        <v>10.874137892356456</v>
      </c>
      <c r="D99">
        <f t="shared" si="1543"/>
        <v>96</v>
      </c>
      <c r="E99" t="e">
        <f>B101-2*B100+B99-J$6</f>
        <v>#NAME?</v>
      </c>
      <c r="F99" t="e">
        <f t="shared" si="1545"/>
        <v>#NAME?</v>
      </c>
      <c r="V99">
        <f t="shared" si="1535"/>
        <v>96</v>
      </c>
      <c r="W99" t="e">
        <f t="shared" si="1536"/>
        <v>#NAME?</v>
      </c>
      <c r="X99" t="e">
        <f t="shared" si="1537"/>
        <v>#NAME?</v>
      </c>
      <c r="Y99" t="e">
        <f t="shared" si="1538"/>
        <v>#NAME?</v>
      </c>
      <c r="Z99" t="e">
        <f t="shared" si="1533"/>
        <v>#NAME?</v>
      </c>
      <c r="AA99" t="e">
        <f t="shared" si="1539"/>
        <v>#NAME?</v>
      </c>
      <c r="AB99" t="e">
        <f t="shared" si="1540"/>
        <v>#NAME?</v>
      </c>
      <c r="AD99">
        <f t="shared" si="1544"/>
        <v>96</v>
      </c>
      <c r="AE99">
        <f t="shared" si="1541"/>
        <v>10.874137892356501</v>
      </c>
    </row>
    <row r="100">
      <c r="A100">
        <f t="shared" si="1542"/>
        <v>97</v>
      </c>
      <c r="B100">
        <v>11.048588930382072</v>
      </c>
      <c r="D100">
        <f t="shared" si="1543"/>
        <v>97</v>
      </c>
      <c r="E100" t="e">
        <f t="shared" ref="E100:E106" si="1546">B102-2*B101+B100-J$6</f>
        <v>#NAME?</v>
      </c>
      <c r="F100" t="e">
        <f>E100-SUMPRODUCT(E98:E99,I$4:I$5)-SUMPRODUCT(F99,J$5)</f>
        <v>#NAME?</v>
      </c>
      <c r="V100">
        <f t="shared" ref="V100:V106" si="1547">D100</f>
        <v>97</v>
      </c>
      <c r="W100" t="e">
        <f t="shared" ref="W100:W106" si="1548">E100</f>
        <v>#NAME?</v>
      </c>
      <c r="X100" t="e">
        <f t="shared" ref="X100:X106" si="1549">F100</f>
        <v>#NAME?</v>
      </c>
      <c r="Y100" t="e">
        <f t="shared" ref="Y100:Y106" si="1550">W100-X100</f>
        <v>#NAME?</v>
      </c>
      <c r="Z100" t="e">
        <f t="shared" si="1533"/>
        <v>#NAME?</v>
      </c>
      <c r="AA100" t="e">
        <f t="shared" ref="AA100:AA111" si="1551">Y100-NORMSINV(1-Z$2/2)*Z100</f>
        <v>#NAME?</v>
      </c>
      <c r="AB100" t="e">
        <f t="shared" ref="AB100:AB111" si="1552">Y100+NORMSINV(1-Z$2/2)*Z100</f>
        <v>#NAME?</v>
      </c>
      <c r="AD100">
        <f t="shared" si="1544"/>
        <v>97</v>
      </c>
      <c r="AE100">
        <f t="shared" ref="AE100:AE108" si="1553">B100</f>
        <v>11.048588930382101</v>
      </c>
    </row>
    <row r="101">
      <c r="A101">
        <f t="shared" ref="A101:A108" si="1554">A100+1</f>
        <v>98</v>
      </c>
      <c r="B101">
        <v>10.377103608405848</v>
      </c>
      <c r="D101">
        <f t="shared" ref="D101:D106" si="1555">D100+1</f>
        <v>98</v>
      </c>
      <c r="E101" t="e">
        <f t="shared" si="1546"/>
        <v>#NAME?</v>
      </c>
      <c r="F101" t="e">
        <f>E101-SUMPRODUCT(E99:E100,I$4:I$5)-SUMPRODUCT(F100,J$5)</f>
        <v>#NAME?</v>
      </c>
      <c r="V101">
        <f t="shared" si="1547"/>
        <v>98</v>
      </c>
      <c r="W101" t="e">
        <f t="shared" si="1548"/>
        <v>#NAME?</v>
      </c>
      <c r="X101" t="e">
        <f t="shared" si="1549"/>
        <v>#NAME?</v>
      </c>
      <c r="Y101" t="e">
        <f t="shared" si="1550"/>
        <v>#NAME?</v>
      </c>
      <c r="Z101" t="e">
        <f t="shared" si="1533"/>
        <v>#NAME?</v>
      </c>
      <c r="AA101" t="e">
        <f t="shared" si="1551"/>
        <v>#NAME?</v>
      </c>
      <c r="AB101" t="e">
        <f t="shared" si="1552"/>
        <v>#NAME?</v>
      </c>
      <c r="AD101">
        <f t="shared" ref="AD101:AD113" si="1556">AD100+1</f>
        <v>98</v>
      </c>
      <c r="AE101">
        <f t="shared" si="1553"/>
        <v>10.3771036084059</v>
      </c>
    </row>
    <row r="102">
      <c r="A102">
        <f t="shared" si="1554"/>
        <v>99</v>
      </c>
      <c r="B102">
        <v>11.100733406475408</v>
      </c>
      <c r="D102">
        <f t="shared" si="1555"/>
        <v>99</v>
      </c>
      <c r="E102" t="e">
        <f t="shared" si="1546"/>
        <v>#NAME?</v>
      </c>
      <c r="F102" t="e">
        <f t="shared" ref="F102:F106" si="1557">E102-SUMPRODUCT(E100:E101,I$4:I$5)-SUMPRODUCT(F101,J$5)</f>
        <v>#NAME?</v>
      </c>
      <c r="V102">
        <f t="shared" si="1547"/>
        <v>99</v>
      </c>
      <c r="W102" t="e">
        <f t="shared" si="1548"/>
        <v>#NAME?</v>
      </c>
      <c r="X102" t="e">
        <f t="shared" si="1549"/>
        <v>#NAME?</v>
      </c>
      <c r="Y102" t="e">
        <f t="shared" si="1550"/>
        <v>#NAME?</v>
      </c>
      <c r="Z102" t="e">
        <f t="shared" si="1533"/>
        <v>#NAME?</v>
      </c>
      <c r="AA102" t="e">
        <f t="shared" si="1551"/>
        <v>#NAME?</v>
      </c>
      <c r="AB102" t="e">
        <f t="shared" si="1552"/>
        <v>#NAME?</v>
      </c>
      <c r="AD102">
        <f t="shared" si="1556"/>
        <v>99</v>
      </c>
      <c r="AE102">
        <f t="shared" si="1553"/>
        <v>11.100733406475401</v>
      </c>
    </row>
    <row r="103">
      <c r="A103">
        <f t="shared" si="1554"/>
        <v>100</v>
      </c>
      <c r="B103">
        <v>9.5564566897714425</v>
      </c>
      <c r="D103">
        <f t="shared" si="1555"/>
        <v>100</v>
      </c>
      <c r="E103" t="e">
        <f t="shared" si="1546"/>
        <v>#NAME?</v>
      </c>
      <c r="F103" t="e">
        <f t="shared" si="1557"/>
        <v>#NAME?</v>
      </c>
      <c r="V103">
        <f t="shared" si="1547"/>
        <v>100</v>
      </c>
      <c r="W103" t="e">
        <f t="shared" si="1548"/>
        <v>#NAME?</v>
      </c>
      <c r="X103" t="e">
        <f t="shared" si="1549"/>
        <v>#NAME?</v>
      </c>
      <c r="Y103" t="e">
        <f t="shared" si="1550"/>
        <v>#NAME?</v>
      </c>
      <c r="Z103" t="e">
        <f t="shared" si="1533"/>
        <v>#NAME?</v>
      </c>
      <c r="AA103" t="e">
        <f t="shared" si="1551"/>
        <v>#NAME?</v>
      </c>
      <c r="AB103" t="e">
        <f t="shared" si="1552"/>
        <v>#NAME?</v>
      </c>
      <c r="AD103">
        <f t="shared" si="1556"/>
        <v>100</v>
      </c>
      <c r="AE103">
        <f t="shared" si="1553"/>
        <v>9.5564566897714407</v>
      </c>
    </row>
    <row r="104">
      <c r="A104">
        <f t="shared" si="1554"/>
        <v>101</v>
      </c>
      <c r="B104">
        <v>10.126612012197912</v>
      </c>
      <c r="D104">
        <f t="shared" si="1555"/>
        <v>101</v>
      </c>
      <c r="E104" t="e">
        <f t="shared" si="1546"/>
        <v>#NAME?</v>
      </c>
      <c r="F104" t="e">
        <f t="shared" si="1557"/>
        <v>#NAME?</v>
      </c>
      <c r="V104">
        <f t="shared" si="1547"/>
        <v>101</v>
      </c>
      <c r="W104" t="e">
        <f t="shared" si="1548"/>
        <v>#NAME?</v>
      </c>
      <c r="X104" t="e">
        <f t="shared" si="1549"/>
        <v>#NAME?</v>
      </c>
      <c r="Y104" t="e">
        <f t="shared" si="1550"/>
        <v>#NAME?</v>
      </c>
      <c r="Z104" t="e">
        <f t="shared" si="1533"/>
        <v>#NAME?</v>
      </c>
      <c r="AA104" t="e">
        <f t="shared" si="1551"/>
        <v>#NAME?</v>
      </c>
      <c r="AB104" t="e">
        <f t="shared" si="1552"/>
        <v>#NAME?</v>
      </c>
      <c r="AD104">
        <f t="shared" si="1556"/>
        <v>101</v>
      </c>
      <c r="AE104">
        <f t="shared" si="1553"/>
        <v>10.126612012197899</v>
      </c>
    </row>
    <row r="105">
      <c r="A105">
        <f t="shared" si="1554"/>
        <v>102</v>
      </c>
      <c r="B105">
        <v>10.618656799718755</v>
      </c>
      <c r="D105">
        <f t="shared" si="1555"/>
        <v>102</v>
      </c>
      <c r="E105" t="e">
        <f t="shared" si="1546"/>
        <v>#NAME?</v>
      </c>
      <c r="F105" t="e">
        <f t="shared" si="1557"/>
        <v>#NAME?</v>
      </c>
      <c r="V105">
        <f t="shared" si="1547"/>
        <v>102</v>
      </c>
      <c r="W105" t="e">
        <f t="shared" si="1548"/>
        <v>#NAME?</v>
      </c>
      <c r="X105" t="e">
        <f t="shared" si="1549"/>
        <v>#NAME?</v>
      </c>
      <c r="Y105" t="e">
        <f t="shared" si="1550"/>
        <v>#NAME?</v>
      </c>
      <c r="Z105" t="e">
        <f t="shared" si="1533"/>
        <v>#NAME?</v>
      </c>
      <c r="AA105" t="e">
        <f t="shared" si="1551"/>
        <v>#NAME?</v>
      </c>
      <c r="AB105" t="e">
        <f t="shared" si="1552"/>
        <v>#NAME?</v>
      </c>
      <c r="AD105">
        <f t="shared" si="1556"/>
        <v>102</v>
      </c>
      <c r="AE105">
        <f t="shared" si="1553"/>
        <v>10.618656799718799</v>
      </c>
    </row>
    <row r="106">
      <c r="A106">
        <f t="shared" si="1554"/>
        <v>103</v>
      </c>
      <c r="B106">
        <v>11.369377647513677</v>
      </c>
      <c r="D106" s="14">
        <f t="shared" si="1555"/>
        <v>103</v>
      </c>
      <c r="E106" s="14" t="e">
        <f t="shared" si="1546"/>
        <v>#NAME?</v>
      </c>
      <c r="F106" s="14" t="e">
        <f t="shared" si="1557"/>
        <v>#NAME?</v>
      </c>
      <c r="V106">
        <f t="shared" si="1547"/>
        <v>103</v>
      </c>
      <c r="W106" t="e">
        <f t="shared" si="1548"/>
        <v>#NAME?</v>
      </c>
      <c r="X106" t="e">
        <f t="shared" si="1549"/>
        <v>#NAME?</v>
      </c>
      <c r="Y106" t="e">
        <f t="shared" si="1550"/>
        <v>#NAME?</v>
      </c>
      <c r="Z106" t="e">
        <f t="shared" si="1533"/>
        <v>#NAME?</v>
      </c>
      <c r="AA106" t="e">
        <f t="shared" si="1551"/>
        <v>#NAME?</v>
      </c>
      <c r="AB106" t="e">
        <f t="shared" si="1552"/>
        <v>#NAME?</v>
      </c>
      <c r="AD106">
        <f t="shared" si="1556"/>
        <v>103</v>
      </c>
      <c r="AE106">
        <f t="shared" si="1553"/>
        <v>11.3693776475137</v>
      </c>
    </row>
    <row r="107">
      <c r="A107">
        <f t="shared" si="1554"/>
        <v>104</v>
      </c>
      <c r="B107">
        <v>10.761442220235375</v>
      </c>
      <c r="V107">
        <f t="shared" ref="V107:V111" si="1558">V106+1</f>
        <v>104</v>
      </c>
      <c r="Y107" t="e">
        <f>SUMPRODUCT(W105:W106,I$4:I$5)+SUMPRODUCT(X106,J$5)</f>
        <v>#NAME?</v>
      </c>
      <c r="Z107" t="e">
        <f t="shared" ref="Z107:Z111" si="1559">J$15*SQRT(SUMSQ(M$15:M15))</f>
        <v>#NAME?</v>
      </c>
      <c r="AA107" t="e">
        <f t="shared" si="1551"/>
        <v>#NAME?</v>
      </c>
      <c r="AB107" t="e">
        <f t="shared" si="1552"/>
        <v>#NAME?</v>
      </c>
      <c r="AD107">
        <f t="shared" si="1556"/>
        <v>104</v>
      </c>
      <c r="AE107">
        <f t="shared" si="1553"/>
        <v>10.7614422202354</v>
      </c>
    </row>
    <row r="108">
      <c r="A108">
        <f t="shared" si="1554"/>
        <v>105</v>
      </c>
      <c r="B108" s="14">
        <v>11.954765055482961</v>
      </c>
      <c r="V108">
        <f t="shared" si="1558"/>
        <v>105</v>
      </c>
      <c r="Y108" t="e">
        <f>SUMPRODUCT(W106,I4)+SUMPRODUCT(Y107,I5)</f>
        <v>#NAME?</v>
      </c>
      <c r="Z108" t="e">
        <f t="shared" si="1559"/>
        <v>#NAME?</v>
      </c>
      <c r="AA108" t="e">
        <f t="shared" si="1551"/>
        <v>#NAME?</v>
      </c>
      <c r="AB108" t="e">
        <f t="shared" si="1552"/>
        <v>#NAME?</v>
      </c>
      <c r="AD108" s="14">
        <f t="shared" si="1556"/>
        <v>105</v>
      </c>
      <c r="AE108" s="14">
        <f t="shared" si="1553"/>
        <v>11.954765055483</v>
      </c>
    </row>
    <row r="109">
      <c r="V109">
        <f t="shared" si="1558"/>
        <v>106</v>
      </c>
      <c r="Y109" t="e">
        <f>SUMPRODUCT(Y107:Y108,I4:I5)</f>
        <v>#NAME?</v>
      </c>
      <c r="Z109" t="e">
        <f t="shared" si="1559"/>
        <v>#NAME?</v>
      </c>
      <c r="AA109" t="e">
        <f t="shared" si="1551"/>
        <v>#NAME?</v>
      </c>
      <c r="AB109" t="e">
        <f t="shared" si="1552"/>
        <v>#NAME?</v>
      </c>
      <c r="AD109">
        <f t="shared" si="1556"/>
        <v>106</v>
      </c>
      <c r="AE109" t="e">
        <f t="shared" ref="AE109:AE113" si="1560">Y107+2*AE108-AE107+J$6</f>
        <v>#NAME?</v>
      </c>
    </row>
    <row r="110">
      <c r="V110">
        <f t="shared" si="1558"/>
        <v>107</v>
      </c>
      <c r="Y110" t="e">
        <f>SUMPRODUCT(Y108:Y109,I4:I5)</f>
        <v>#NAME?</v>
      </c>
      <c r="Z110" t="e">
        <f t="shared" si="1559"/>
        <v>#NAME?</v>
      </c>
      <c r="AA110" t="e">
        <f t="shared" si="1551"/>
        <v>#NAME?</v>
      </c>
      <c r="AB110" t="e">
        <f t="shared" si="1552"/>
        <v>#NAME?</v>
      </c>
      <c r="AD110">
        <f t="shared" si="1556"/>
        <v>107</v>
      </c>
      <c r="AE110" t="e">
        <f t="shared" si="1560"/>
        <v>#NAME?</v>
      </c>
    </row>
    <row r="111">
      <c r="V111" s="14">
        <f t="shared" si="1558"/>
        <v>108</v>
      </c>
      <c r="W111" s="14"/>
      <c r="X111" s="14"/>
      <c r="Y111" s="14" t="e">
        <f>SUMPRODUCT(Y109:Y110,I4:I5)</f>
        <v>#NAME?</v>
      </c>
      <c r="Z111" s="14" t="e">
        <f t="shared" si="1559"/>
        <v>#NAME?</v>
      </c>
      <c r="AA111" s="14" t="e">
        <f t="shared" si="1551"/>
        <v>#NAME?</v>
      </c>
      <c r="AB111" s="14" t="e">
        <f t="shared" si="1552"/>
        <v>#NAME?</v>
      </c>
      <c r="AD111">
        <f t="shared" si="1556"/>
        <v>108</v>
      </c>
      <c r="AE111" t="e">
        <f t="shared" si="1560"/>
        <v>#NAME?</v>
      </c>
    </row>
    <row r="112">
      <c r="AD112">
        <f t="shared" si="1556"/>
        <v>109</v>
      </c>
      <c r="AE112" t="e">
        <f t="shared" si="1560"/>
        <v>#NAME?</v>
      </c>
    </row>
    <row r="113">
      <c r="AD113" s="14">
        <f t="shared" si="1556"/>
        <v>110</v>
      </c>
      <c r="AE113" s="14" t="e">
        <f t="shared" si="1560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J12" activeCellId="0" sqref="J12"/>
    </sheetView>
  </sheetViews>
  <sheetFormatPr defaultRowHeight="14.25"/>
  <cols>
    <col customWidth="1" min="1" max="1" width="4.8125"/>
  </cols>
  <sheetData>
    <row r="1">
      <c r="A1" s="1" t="s">
        <v>592</v>
      </c>
      <c r="D1" t="s">
        <v>578</v>
      </c>
      <c r="H1" t="s">
        <v>475</v>
      </c>
      <c r="L1" t="s">
        <v>476</v>
      </c>
      <c r="P1" t="s">
        <v>591</v>
      </c>
      <c r="V1" t="s">
        <v>478</v>
      </c>
      <c r="AD1" t="s">
        <v>479</v>
      </c>
    </row>
    <row r="2">
      <c r="A2" s="55"/>
      <c r="B2" s="55"/>
      <c r="Y2" t="s">
        <v>385</v>
      </c>
      <c r="Z2">
        <v>5.0000000000000003e-02</v>
      </c>
    </row>
    <row r="3">
      <c r="B3" s="4" t="s">
        <v>343</v>
      </c>
      <c r="D3" s="24" t="s">
        <v>355</v>
      </c>
      <c r="E3" s="24" t="s">
        <v>173</v>
      </c>
      <c r="F3" s="24" t="s">
        <v>480</v>
      </c>
      <c r="H3" s="24" t="s">
        <v>481</v>
      </c>
      <c r="I3" s="24" t="s">
        <v>482</v>
      </c>
      <c r="J3" s="24" t="s">
        <v>483</v>
      </c>
      <c r="L3" s="24" t="s">
        <v>469</v>
      </c>
      <c r="M3" s="24" t="s">
        <v>470</v>
      </c>
      <c r="N3" s="24" t="s">
        <v>484</v>
      </c>
      <c r="P3" s="24" t="s">
        <v>485</v>
      </c>
      <c r="Q3" s="24" t="s">
        <v>486</v>
      </c>
      <c r="R3" s="24" t="s">
        <v>183</v>
      </c>
      <c r="S3" s="24" t="s">
        <v>582</v>
      </c>
      <c r="T3" s="24" t="s">
        <v>189</v>
      </c>
      <c r="V3" s="24" t="s">
        <v>355</v>
      </c>
      <c r="W3" s="24" t="s">
        <v>173</v>
      </c>
      <c r="X3" s="24" t="s">
        <v>480</v>
      </c>
      <c r="Y3" s="24" t="s">
        <v>208</v>
      </c>
      <c r="Z3" s="24" t="s">
        <v>183</v>
      </c>
      <c r="AA3" s="24" t="s">
        <v>215</v>
      </c>
      <c r="AB3" s="24" t="s">
        <v>216</v>
      </c>
      <c r="AD3" s="24" t="s">
        <v>355</v>
      </c>
      <c r="AE3" s="24" t="s">
        <v>193</v>
      </c>
    </row>
    <row r="4">
      <c r="A4">
        <v>1</v>
      </c>
      <c r="B4">
        <v>3.1176756475655347</v>
      </c>
      <c r="D4">
        <v>1</v>
      </c>
      <c r="E4">
        <f t="shared" ref="E4:E7" si="1561">B6-2*B5+B4-J$6</f>
        <v>-3.5870937804010898</v>
      </c>
      <c r="F4">
        <v>0</v>
      </c>
      <c r="H4" s="15">
        <v>2</v>
      </c>
      <c r="I4">
        <v>-0.14877473524912185</v>
      </c>
      <c r="J4">
        <v>0</v>
      </c>
      <c r="L4" t="e">
        <v>#NAME?</v>
      </c>
      <c r="M4" t="e">
        <v>#NAME?</v>
      </c>
      <c r="N4" t="e">
        <v>#NAME?</v>
      </c>
      <c r="P4" s="26" t="s">
        <v>283</v>
      </c>
      <c r="Q4" s="26">
        <f>J16</f>
        <v>4.7722338769120003e-03</v>
      </c>
      <c r="R4" s="26">
        <f>J17/SQRT(J18)</f>
        <v>0.21467756331931703</v>
      </c>
      <c r="S4" s="26">
        <f>Q4/R4</f>
        <v>2.2229774752071999e-02</v>
      </c>
      <c r="T4" s="26">
        <f>TDIST(ABS(S4),J$18-1,2)</f>
        <v>0.98230896342458696</v>
      </c>
      <c r="V4">
        <f t="shared" ref="V4:V9" si="1562">D4</f>
        <v>1</v>
      </c>
      <c r="W4">
        <f t="shared" ref="W4:W9" si="1563">E4</f>
        <v>-3.5870937804010898</v>
      </c>
      <c r="X4">
        <f t="shared" ref="X4:X9" si="1564">F4</f>
        <v>0</v>
      </c>
      <c r="Y4">
        <f t="shared" ref="Y4:Y9" si="1565">W4-X4</f>
        <v>-3.5870937804010898</v>
      </c>
      <c r="Z4">
        <f t="shared" ref="Z4:Z67" si="1566">J$15</f>
        <v>1.18147647624957</v>
      </c>
      <c r="AA4">
        <f t="shared" ref="AA4:AA9" si="1567">Y4-NORMSINV(1-Z$2/2)*Z4</f>
        <v>-5.9027450082889397</v>
      </c>
      <c r="AB4">
        <f t="shared" ref="AB4:AB9" si="1568">Y4+NORMSINV(1-Z$2/2)*Z4</f>
        <v>-1.27144255251324</v>
      </c>
      <c r="AD4">
        <v>1</v>
      </c>
      <c r="AE4">
        <f t="shared" ref="AE4:AE9" si="1569">B4</f>
        <v>3.1176756475655401</v>
      </c>
    </row>
    <row r="5">
      <c r="A5">
        <f t="shared" ref="A5:A10" si="1570">A4+1</f>
        <v>2</v>
      </c>
      <c r="B5">
        <v>5.8082510857989273</v>
      </c>
      <c r="D5">
        <f t="shared" ref="D5:D10" si="1571">D4+1</f>
        <v>2</v>
      </c>
      <c r="E5">
        <f t="shared" si="1561"/>
        <v>2.1191525165451099</v>
      </c>
      <c r="F5">
        <v>0</v>
      </c>
      <c r="H5" s="15">
        <f>H4-1</f>
        <v>1</v>
      </c>
      <c r="I5">
        <v>-0.5185446393154074</v>
      </c>
      <c r="J5">
        <v>-0.9289447533261459</v>
      </c>
      <c r="L5" s="14" t="e">
        <v>#NAME?</v>
      </c>
      <c r="M5" s="14" t="e">
        <v>#NAME?</v>
      </c>
      <c r="N5" s="14" t="e">
        <v>#NAME?</v>
      </c>
      <c r="V5">
        <f t="shared" si="1562"/>
        <v>2</v>
      </c>
      <c r="W5">
        <f t="shared" si="1563"/>
        <v>2.1191525165451099</v>
      </c>
      <c r="X5">
        <f t="shared" si="1564"/>
        <v>0</v>
      </c>
      <c r="Y5">
        <f t="shared" si="1565"/>
        <v>2.1191525165451099</v>
      </c>
      <c r="Z5">
        <f t="shared" si="1566"/>
        <v>1.18147647624957</v>
      </c>
      <c r="AA5">
        <f t="shared" si="1567"/>
        <v>-0.19649871134274</v>
      </c>
      <c r="AB5">
        <f t="shared" si="1568"/>
        <v>4.4348037444329602</v>
      </c>
      <c r="AD5">
        <f t="shared" ref="AD5:AD10" si="1572">AD4+1</f>
        <v>2</v>
      </c>
      <c r="AE5">
        <f t="shared" si="1569"/>
        <v>5.80825108579893</v>
      </c>
    </row>
    <row r="6">
      <c r="A6">
        <f t="shared" si="1570"/>
        <v>3</v>
      </c>
      <c r="B6">
        <v>4.9067685983817757</v>
      </c>
      <c r="D6">
        <f t="shared" si="1571"/>
        <v>3</v>
      </c>
      <c r="E6">
        <f t="shared" si="1561"/>
        <v>0.80811009087648489</v>
      </c>
      <c r="F6">
        <f t="shared" ref="F6:F9" si="1573">E6-SUMPRODUCT(E4:E5,I$4:I$5)-SUMPRODUCT(F5,J$5)</f>
        <v>1.3733163407297599</v>
      </c>
      <c r="H6" s="17" t="s">
        <v>494</v>
      </c>
      <c r="I6" s="14">
        <f>J6*(1-SUM(I4:I5))</f>
        <v>-8.2768155526350001e-03</v>
      </c>
      <c r="J6" s="14">
        <v>-4.9641452494951941e-03</v>
      </c>
      <c r="V6">
        <f t="shared" si="1562"/>
        <v>3</v>
      </c>
      <c r="W6">
        <f t="shared" si="1563"/>
        <v>0.80811009087648489</v>
      </c>
      <c r="X6">
        <f t="shared" si="1564"/>
        <v>1.3733163407297599</v>
      </c>
      <c r="Y6">
        <f t="shared" si="1565"/>
        <v>-0.56520624985327494</v>
      </c>
      <c r="Z6">
        <f t="shared" si="1566"/>
        <v>1.18147647624957</v>
      </c>
      <c r="AA6">
        <f t="shared" si="1567"/>
        <v>-2.88085747774113</v>
      </c>
      <c r="AB6">
        <f t="shared" si="1568"/>
        <v>1.7504449780345801</v>
      </c>
      <c r="AD6">
        <f t="shared" si="1572"/>
        <v>3</v>
      </c>
      <c r="AE6">
        <f t="shared" si="1569"/>
        <v>4.9067685983817801</v>
      </c>
    </row>
    <row r="7">
      <c r="A7">
        <f t="shared" si="1570"/>
        <v>4</v>
      </c>
      <c r="B7">
        <v>6.1194744822602418</v>
      </c>
      <c r="D7">
        <f t="shared" si="1571"/>
        <v>4</v>
      </c>
      <c r="E7">
        <f t="shared" si="1561"/>
        <v>-0.80134656937568516</v>
      </c>
      <c r="F7">
        <f t="shared" si="1573"/>
        <v>1.2087059502044799</v>
      </c>
      <c r="L7" t="s">
        <v>495</v>
      </c>
      <c r="V7">
        <f t="shared" si="1562"/>
        <v>4</v>
      </c>
      <c r="W7">
        <f t="shared" si="1563"/>
        <v>-0.80134656937568516</v>
      </c>
      <c r="X7">
        <f t="shared" si="1564"/>
        <v>1.2087059502044799</v>
      </c>
      <c r="Y7">
        <f t="shared" si="1565"/>
        <v>-2.0100525195801699</v>
      </c>
      <c r="Z7">
        <f t="shared" si="1566"/>
        <v>1.18147647624957</v>
      </c>
      <c r="AA7">
        <f t="shared" si="1567"/>
        <v>-4.3257037474680198</v>
      </c>
      <c r="AB7">
        <f t="shared" si="1568"/>
        <v>0.30559870830767999</v>
      </c>
      <c r="AD7">
        <f t="shared" si="1572"/>
        <v>4</v>
      </c>
      <c r="AE7">
        <f t="shared" si="1569"/>
        <v>6.11947448226024</v>
      </c>
    </row>
    <row r="8">
      <c r="A8">
        <f t="shared" si="1570"/>
        <v>5</v>
      </c>
      <c r="B8">
        <v>8.1353263117657075</v>
      </c>
      <c r="D8">
        <f t="shared" si="1571"/>
        <v>5</v>
      </c>
      <c r="E8">
        <f>B10-2*B9+B8-J$6</f>
        <v>-1.40179371238964</v>
      </c>
      <c r="F8">
        <f t="shared" si="1573"/>
        <v>-0.57428026459435</v>
      </c>
      <c r="I8" t="s">
        <v>464</v>
      </c>
      <c r="J8" s="18">
        <f>SUMSQ(F6:F106)</f>
        <v>140.98455305704201</v>
      </c>
      <c r="V8">
        <f t="shared" si="1562"/>
        <v>5</v>
      </c>
      <c r="W8">
        <f t="shared" si="1563"/>
        <v>-1.40179371238964</v>
      </c>
      <c r="X8">
        <f t="shared" si="1564"/>
        <v>-0.57428026459435</v>
      </c>
      <c r="Y8">
        <f t="shared" si="1565"/>
        <v>-0.82751344779529001</v>
      </c>
      <c r="Z8">
        <f t="shared" si="1566"/>
        <v>1.18147647624957</v>
      </c>
      <c r="AA8">
        <f t="shared" si="1567"/>
        <v>-3.1431646756831402</v>
      </c>
      <c r="AB8">
        <f t="shared" si="1568"/>
        <v>1.4881377800925599</v>
      </c>
      <c r="AD8">
        <f t="shared" si="1572"/>
        <v>5</v>
      </c>
      <c r="AE8">
        <f t="shared" si="1569"/>
        <v>8.1353263117657093</v>
      </c>
    </row>
    <row r="9">
      <c r="A9">
        <f t="shared" si="1570"/>
        <v>6</v>
      </c>
      <c r="B9">
        <v>9.3448674266459744</v>
      </c>
      <c r="D9">
        <f t="shared" si="1571"/>
        <v>6</v>
      </c>
      <c r="E9">
        <f>B11-2*B10+B9-J$6</f>
        <v>-0.84397651457582601</v>
      </c>
      <c r="F9">
        <f t="shared" si="1573"/>
        <v>-2.2235638919968501</v>
      </c>
      <c r="L9" s="24" t="s">
        <v>469</v>
      </c>
      <c r="M9" s="24" t="s">
        <v>470</v>
      </c>
      <c r="N9" s="24" t="s">
        <v>484</v>
      </c>
      <c r="V9">
        <f t="shared" si="1562"/>
        <v>6</v>
      </c>
      <c r="W9">
        <f t="shared" si="1563"/>
        <v>-0.84397651457582601</v>
      </c>
      <c r="X9">
        <f t="shared" si="1564"/>
        <v>-2.2235638919968501</v>
      </c>
      <c r="Y9">
        <f t="shared" si="1565"/>
        <v>1.3795873774210199</v>
      </c>
      <c r="Z9">
        <f t="shared" si="1566"/>
        <v>1.18147647624957</v>
      </c>
      <c r="AA9">
        <f t="shared" si="1567"/>
        <v>-0.93606385046682994</v>
      </c>
      <c r="AB9">
        <f t="shared" si="1568"/>
        <v>3.6952386053088699</v>
      </c>
      <c r="AD9">
        <f t="shared" si="1572"/>
        <v>6</v>
      </c>
      <c r="AE9">
        <f t="shared" si="1569"/>
        <v>9.3448674266459797</v>
      </c>
    </row>
    <row r="10">
      <c r="A10">
        <f t="shared" si="1570"/>
        <v>7</v>
      </c>
      <c r="B10">
        <v>9.1476506838871607</v>
      </c>
      <c r="D10">
        <f t="shared" si="1571"/>
        <v>7</v>
      </c>
      <c r="E10">
        <f t="shared" ref="E10:E73" si="1574">B12-2*B11+B10-J$6</f>
        <v>3.0960472957035599</v>
      </c>
      <c r="F10">
        <f>E10-SUMPRODUCT(E8:E9,I$4:I$5)-SUMPRODUCT(F9,J$5)</f>
        <v>0.38428829877157</v>
      </c>
      <c r="I10" t="s">
        <v>497</v>
      </c>
      <c r="J10" s="7">
        <v>2</v>
      </c>
      <c r="L10" s="26" t="e">
        <v>#NAME?</v>
      </c>
      <c r="M10" s="26" t="e">
        <v>#NAME?</v>
      </c>
      <c r="N10" s="26" t="e">
        <v>#NAME?</v>
      </c>
      <c r="V10">
        <f t="shared" ref="V10:V73" si="1575">D10</f>
        <v>7</v>
      </c>
      <c r="W10">
        <f t="shared" ref="W10:W73" si="1576">E10</f>
        <v>3.0960472957035599</v>
      </c>
      <c r="X10">
        <f t="shared" ref="X10:X73" si="1577">F10</f>
        <v>0.38428829877157</v>
      </c>
      <c r="Y10">
        <f t="shared" ref="Y10:Y73" si="1578">W10-X10</f>
        <v>2.71175899693199</v>
      </c>
      <c r="Z10">
        <f t="shared" si="1566"/>
        <v>1.18147647624957</v>
      </c>
      <c r="AA10">
        <f t="shared" ref="AA10:AA73" si="1579">Y10-NORMSINV(1-Z$2/2)*Z10</f>
        <v>0.39610776904414002</v>
      </c>
      <c r="AB10">
        <f t="shared" ref="AB10:AB73" si="1580">Y10+NORMSINV(1-Z$2/2)*Z10</f>
        <v>5.0274102248198398</v>
      </c>
      <c r="AD10">
        <f t="shared" si="1572"/>
        <v>7</v>
      </c>
      <c r="AE10">
        <f t="shared" ref="AE10:AE73" si="1581">B10</f>
        <v>9.1476506838871607</v>
      </c>
    </row>
    <row r="11">
      <c r="A11">
        <f t="shared" ref="A11:A74" si="1582">A10+1</f>
        <v>8</v>
      </c>
      <c r="B11">
        <v>8.101493281302977</v>
      </c>
      <c r="D11">
        <f t="shared" ref="D11:D74" si="1583">D10+1</f>
        <v>8</v>
      </c>
      <c r="E11">
        <f t="shared" si="1574"/>
        <v>-1.1411842827891301</v>
      </c>
      <c r="F11">
        <f>E11-SUMPRODUCT(E9:E10,I$4:I$5)-SUMPRODUCT(F10,J$5)</f>
        <v>0.69567466186089999</v>
      </c>
      <c r="I11" t="s">
        <v>498</v>
      </c>
      <c r="J11" s="10">
        <v>1</v>
      </c>
      <c r="V11">
        <f t="shared" si="1575"/>
        <v>8</v>
      </c>
      <c r="W11">
        <f t="shared" si="1576"/>
        <v>-1.1411842827891301</v>
      </c>
      <c r="X11">
        <f t="shared" si="1577"/>
        <v>0.69567466186089999</v>
      </c>
      <c r="Y11">
        <f t="shared" si="1578"/>
        <v>-1.8368589446500301</v>
      </c>
      <c r="Z11">
        <f t="shared" si="1566"/>
        <v>1.18147647624957</v>
      </c>
      <c r="AA11">
        <f t="shared" si="1579"/>
        <v>-4.1525101725378804</v>
      </c>
      <c r="AB11">
        <f t="shared" si="1580"/>
        <v>0.47879228323782003</v>
      </c>
      <c r="AD11">
        <f t="shared" ref="AD11:AD74" si="1584">AD10+1</f>
        <v>8</v>
      </c>
      <c r="AE11">
        <f t="shared" si="1581"/>
        <v>8.1014932813029805</v>
      </c>
    </row>
    <row r="12">
      <c r="A12">
        <f t="shared" si="1582"/>
        <v>9</v>
      </c>
      <c r="B12">
        <v>10.146419029172929</v>
      </c>
      <c r="D12">
        <f t="shared" si="1583"/>
        <v>9</v>
      </c>
      <c r="E12">
        <f t="shared" si="1574"/>
        <v>-1.81643144340301</v>
      </c>
      <c r="F12">
        <f t="shared" ref="F12:F75" si="1585">E12-SUMPRODUCT(E10:E11,I$4:I$5)-SUMPRODUCT(F11,J$5)</f>
        <v>-1.3013294918196401</v>
      </c>
      <c r="I12" t="s">
        <v>181</v>
      </c>
      <c r="J12" s="10">
        <v>2</v>
      </c>
      <c r="L12" t="s">
        <v>499</v>
      </c>
      <c r="V12">
        <f t="shared" si="1575"/>
        <v>9</v>
      </c>
      <c r="W12">
        <f t="shared" si="1576"/>
        <v>-1.81643144340301</v>
      </c>
      <c r="X12">
        <f t="shared" si="1577"/>
        <v>-1.3013294918196401</v>
      </c>
      <c r="Y12">
        <f t="shared" si="1578"/>
        <v>-0.51510195158337002</v>
      </c>
      <c r="Z12">
        <f t="shared" si="1566"/>
        <v>1.18147647624957</v>
      </c>
      <c r="AA12">
        <f t="shared" si="1579"/>
        <v>-2.8307531794712202</v>
      </c>
      <c r="AB12">
        <f t="shared" si="1580"/>
        <v>1.8005492763044799</v>
      </c>
      <c r="AD12">
        <f t="shared" si="1584"/>
        <v>9</v>
      </c>
      <c r="AE12">
        <f t="shared" si="1581"/>
        <v>10.1464190291729</v>
      </c>
    </row>
    <row r="13">
      <c r="A13">
        <f t="shared" si="1582"/>
        <v>10</v>
      </c>
      <c r="B13">
        <v>11.045196349004179</v>
      </c>
      <c r="D13">
        <f t="shared" si="1583"/>
        <v>10</v>
      </c>
      <c r="E13">
        <f t="shared" si="1574"/>
        <v>0.97860657833979603</v>
      </c>
      <c r="F13">
        <f t="shared" si="1585"/>
        <v>-1.3419368026376199</v>
      </c>
      <c r="I13" t="s">
        <v>500</v>
      </c>
      <c r="J13" s="10">
        <f>AVERAGE(F6:F106)</f>
        <v>-3.5415715727027001e-02</v>
      </c>
      <c r="V13">
        <f t="shared" si="1575"/>
        <v>10</v>
      </c>
      <c r="W13">
        <f t="shared" si="1576"/>
        <v>0.97860657833979603</v>
      </c>
      <c r="X13">
        <f t="shared" si="1577"/>
        <v>-1.3419368026376199</v>
      </c>
      <c r="Y13">
        <f t="shared" si="1578"/>
        <v>2.3205433809774201</v>
      </c>
      <c r="Z13">
        <f t="shared" si="1566"/>
        <v>1.18147647624957</v>
      </c>
      <c r="AA13">
        <f t="shared" si="1579"/>
        <v>4.8921530895699996e-03</v>
      </c>
      <c r="AB13">
        <f t="shared" si="1580"/>
        <v>4.6361946088652699</v>
      </c>
      <c r="AD13">
        <f t="shared" si="1584"/>
        <v>10</v>
      </c>
      <c r="AE13">
        <f t="shared" si="1581"/>
        <v>11.0451963490042</v>
      </c>
    </row>
    <row r="14">
      <c r="A14">
        <f t="shared" si="1582"/>
        <v>11</v>
      </c>
      <c r="B14">
        <v>10.122578080182986</v>
      </c>
      <c r="D14">
        <f t="shared" si="1583"/>
        <v>11</v>
      </c>
      <c r="E14">
        <f t="shared" si="1574"/>
        <v>0.601647537421096</v>
      </c>
      <c r="F14">
        <f t="shared" si="1585"/>
        <v>-0.40772552657795202</v>
      </c>
      <c r="I14" t="s">
        <v>502</v>
      </c>
      <c r="J14" s="10">
        <f>STDEV(F6:F106)</f>
        <v>1.1868355888330799</v>
      </c>
      <c r="L14" s="24" t="s">
        <v>481</v>
      </c>
      <c r="M14" s="24" t="s">
        <v>501</v>
      </c>
      <c r="V14">
        <f t="shared" si="1575"/>
        <v>11</v>
      </c>
      <c r="W14">
        <f t="shared" si="1576"/>
        <v>0.601647537421096</v>
      </c>
      <c r="X14">
        <f t="shared" si="1577"/>
        <v>-0.40772552657795202</v>
      </c>
      <c r="Y14">
        <f t="shared" si="1578"/>
        <v>1.0093730639990499</v>
      </c>
      <c r="Z14">
        <f t="shared" si="1566"/>
        <v>1.18147647624957</v>
      </c>
      <c r="AA14">
        <f t="shared" si="1579"/>
        <v>-1.3062781638887999</v>
      </c>
      <c r="AB14">
        <f t="shared" si="1580"/>
        <v>3.3250242918869</v>
      </c>
      <c r="AD14">
        <f t="shared" si="1584"/>
        <v>11</v>
      </c>
      <c r="AE14">
        <f t="shared" si="1581"/>
        <v>10.122578080183001</v>
      </c>
    </row>
    <row r="15">
      <c r="A15">
        <f t="shared" si="1582"/>
        <v>12</v>
      </c>
      <c r="B15">
        <v>10.173602244452049</v>
      </c>
      <c r="D15">
        <f t="shared" si="1583"/>
        <v>12</v>
      </c>
      <c r="E15">
        <f t="shared" si="1574"/>
        <v>-1.37998996251001</v>
      </c>
      <c r="F15">
        <f t="shared" si="1585"/>
        <v>-1.3011714113291599</v>
      </c>
      <c r="I15" t="s">
        <v>503</v>
      </c>
      <c r="J15" s="10">
        <f>SQRT(J8/J18)</f>
        <v>1.18147647624957</v>
      </c>
      <c r="L15" s="42">
        <v>0</v>
      </c>
      <c r="M15" s="42" t="e">
        <v>#NAME?</v>
      </c>
      <c r="V15">
        <f t="shared" si="1575"/>
        <v>12</v>
      </c>
      <c r="W15">
        <f t="shared" si="1576"/>
        <v>-1.37998996251001</v>
      </c>
      <c r="X15">
        <f t="shared" si="1577"/>
        <v>-1.3011714113291599</v>
      </c>
      <c r="Y15">
        <f t="shared" si="1578"/>
        <v>-7.8818551180850002e-02</v>
      </c>
      <c r="Z15">
        <f t="shared" si="1566"/>
        <v>1.18147647624957</v>
      </c>
      <c r="AA15">
        <f t="shared" si="1579"/>
        <v>-2.3944697790687002</v>
      </c>
      <c r="AB15">
        <f t="shared" si="1580"/>
        <v>2.2368326767069999</v>
      </c>
      <c r="AD15">
        <f t="shared" si="1584"/>
        <v>12</v>
      </c>
      <c r="AE15">
        <f t="shared" si="1581"/>
        <v>10.1736022444521</v>
      </c>
    </row>
    <row r="16">
      <c r="A16">
        <f t="shared" si="1582"/>
        <v>13</v>
      </c>
      <c r="B16">
        <v>10.821309800892813</v>
      </c>
      <c r="D16">
        <f t="shared" si="1583"/>
        <v>13</v>
      </c>
      <c r="E16">
        <f t="shared" si="1574"/>
        <v>1.0042015025497999</v>
      </c>
      <c r="F16">
        <f t="shared" si="1585"/>
        <v>-0.83059129745792615</v>
      </c>
      <c r="I16" t="s">
        <v>504</v>
      </c>
      <c r="J16" s="10">
        <f>AVERAGE(E6:E106)</f>
        <v>4.7722338769120003e-03</v>
      </c>
      <c r="L16">
        <f t="shared" ref="L16:L19" si="1586">L15+1</f>
        <v>1</v>
      </c>
      <c r="M16" t="e">
        <v>#NAME?</v>
      </c>
      <c r="V16">
        <f t="shared" si="1575"/>
        <v>13</v>
      </c>
      <c r="W16">
        <f t="shared" si="1576"/>
        <v>1.0042015025497999</v>
      </c>
      <c r="X16">
        <f t="shared" si="1577"/>
        <v>-0.83059129745792615</v>
      </c>
      <c r="Y16">
        <f t="shared" si="1578"/>
        <v>1.83479280000773</v>
      </c>
      <c r="Z16">
        <f t="shared" si="1566"/>
        <v>1.18147647624957</v>
      </c>
      <c r="AA16">
        <f t="shared" si="1579"/>
        <v>-0.48085842788012007</v>
      </c>
      <c r="AB16">
        <f t="shared" si="1580"/>
        <v>4.1504440278955803</v>
      </c>
      <c r="AD16">
        <f t="shared" si="1584"/>
        <v>13</v>
      </c>
      <c r="AE16">
        <f t="shared" si="1581"/>
        <v>10.8213098008928</v>
      </c>
    </row>
    <row r="17">
      <c r="A17">
        <f t="shared" si="1582"/>
        <v>14</v>
      </c>
      <c r="B17">
        <v>10.084063249573955</v>
      </c>
      <c r="D17">
        <f t="shared" si="1583"/>
        <v>14</v>
      </c>
      <c r="E17">
        <f t="shared" si="1574"/>
        <v>-0.91087777698490613</v>
      </c>
      <c r="F17">
        <f t="shared" si="1585"/>
        <v>-1.3670355402959999</v>
      </c>
      <c r="I17" t="s">
        <v>505</v>
      </c>
      <c r="J17" s="10">
        <f>STDEV(E6:E106)</f>
        <v>2.1574828100044399</v>
      </c>
      <c r="L17">
        <f t="shared" si="1586"/>
        <v>2</v>
      </c>
      <c r="M17" t="e">
        <v>#NAME?</v>
      </c>
      <c r="V17">
        <f t="shared" si="1575"/>
        <v>14</v>
      </c>
      <c r="W17">
        <f t="shared" si="1576"/>
        <v>-0.91087777698490613</v>
      </c>
      <c r="X17">
        <f t="shared" si="1577"/>
        <v>-1.3670355402959999</v>
      </c>
      <c r="Y17">
        <f t="shared" si="1578"/>
        <v>0.45615776331109392</v>
      </c>
      <c r="Z17">
        <f t="shared" si="1566"/>
        <v>1.18147647624957</v>
      </c>
      <c r="AA17">
        <f t="shared" si="1579"/>
        <v>-1.85949346457676</v>
      </c>
      <c r="AB17">
        <f t="shared" si="1580"/>
        <v>2.7718089911989399</v>
      </c>
      <c r="AD17">
        <f t="shared" si="1584"/>
        <v>14</v>
      </c>
      <c r="AE17">
        <f t="shared" si="1581"/>
        <v>10.084063249573999</v>
      </c>
    </row>
    <row r="18">
      <c r="A18">
        <f t="shared" si="1582"/>
        <v>15</v>
      </c>
      <c r="B18">
        <v>10.346054055555475</v>
      </c>
      <c r="D18">
        <f t="shared" si="1583"/>
        <v>15</v>
      </c>
      <c r="E18">
        <f t="shared" si="1574"/>
        <v>2.1721870928257001</v>
      </c>
      <c r="F18">
        <f t="shared" si="1585"/>
        <v>0.57935562440891997</v>
      </c>
      <c r="I18" t="s">
        <v>506</v>
      </c>
      <c r="J18" s="13">
        <f>COUNT(E6:E106)</f>
        <v>101</v>
      </c>
      <c r="L18">
        <f t="shared" si="1586"/>
        <v>3</v>
      </c>
      <c r="M18" t="e">
        <v>#NAME?</v>
      </c>
      <c r="V18">
        <f t="shared" si="1575"/>
        <v>15</v>
      </c>
      <c r="W18">
        <f t="shared" si="1576"/>
        <v>2.1721870928257001</v>
      </c>
      <c r="X18">
        <f t="shared" si="1577"/>
        <v>0.57935562440891997</v>
      </c>
      <c r="Y18">
        <f t="shared" si="1578"/>
        <v>1.5928314684167799</v>
      </c>
      <c r="Z18">
        <f t="shared" si="1566"/>
        <v>1.18147647624957</v>
      </c>
      <c r="AA18">
        <f t="shared" si="1579"/>
        <v>-0.72281975947107002</v>
      </c>
      <c r="AB18">
        <f t="shared" si="1580"/>
        <v>3.9084826963046302</v>
      </c>
      <c r="AD18">
        <f t="shared" si="1584"/>
        <v>15</v>
      </c>
      <c r="AE18">
        <f t="shared" si="1581"/>
        <v>10.3460540555555</v>
      </c>
    </row>
    <row r="19">
      <c r="A19">
        <f t="shared" si="1582"/>
        <v>16</v>
      </c>
      <c r="B19">
        <v>9.6922029393025948</v>
      </c>
      <c r="D19">
        <f t="shared" si="1583"/>
        <v>16</v>
      </c>
      <c r="E19">
        <f t="shared" si="1574"/>
        <v>-6.1866040184905005e-02</v>
      </c>
      <c r="F19">
        <f t="shared" si="1585"/>
        <v>1.4671836998793999</v>
      </c>
      <c r="L19" s="14">
        <f t="shared" si="1586"/>
        <v>4</v>
      </c>
      <c r="M19" s="14" t="e">
        <v>#NAME?</v>
      </c>
      <c r="V19">
        <f t="shared" si="1575"/>
        <v>16</v>
      </c>
      <c r="W19">
        <f t="shared" si="1576"/>
        <v>-6.1866040184905005e-02</v>
      </c>
      <c r="X19">
        <f t="shared" si="1577"/>
        <v>1.4671836998793999</v>
      </c>
      <c r="Y19">
        <f t="shared" si="1578"/>
        <v>-1.5290497400643099</v>
      </c>
      <c r="Z19">
        <f t="shared" si="1566"/>
        <v>1.18147647624957</v>
      </c>
      <c r="AA19">
        <f t="shared" si="1579"/>
        <v>-3.8447009679521602</v>
      </c>
      <c r="AB19">
        <f t="shared" si="1580"/>
        <v>0.78660148782354</v>
      </c>
      <c r="AD19">
        <f t="shared" si="1584"/>
        <v>16</v>
      </c>
      <c r="AE19">
        <f t="shared" si="1581"/>
        <v>9.6922029393026001</v>
      </c>
    </row>
    <row r="20">
      <c r="A20">
        <f t="shared" si="1582"/>
        <v>17</v>
      </c>
      <c r="B20">
        <v>11.205574770625869</v>
      </c>
      <c r="D20">
        <f t="shared" si="1583"/>
        <v>17</v>
      </c>
      <c r="E20">
        <f t="shared" si="1574"/>
        <v>-0.68736474851880502</v>
      </c>
      <c r="F20">
        <f t="shared" si="1585"/>
        <v>0.96665410780295402</v>
      </c>
      <c r="I20" t="s">
        <v>507</v>
      </c>
      <c r="J20" s="7">
        <f>-(J23-2*(J10+J11+2))/2</f>
        <v>-160.15604749847699</v>
      </c>
      <c r="V20">
        <f t="shared" si="1575"/>
        <v>17</v>
      </c>
      <c r="W20">
        <f t="shared" si="1576"/>
        <v>-0.68736474851880502</v>
      </c>
      <c r="X20">
        <f t="shared" si="1577"/>
        <v>0.96665410780295402</v>
      </c>
      <c r="Y20">
        <f t="shared" si="1578"/>
        <v>-1.6540188563217599</v>
      </c>
      <c r="Z20">
        <f t="shared" si="1566"/>
        <v>1.18147647624957</v>
      </c>
      <c r="AA20">
        <f t="shared" si="1579"/>
        <v>-3.9696700842096102</v>
      </c>
      <c r="AB20">
        <f t="shared" si="1580"/>
        <v>0.66163237156609001</v>
      </c>
      <c r="AD20">
        <f t="shared" si="1584"/>
        <v>17</v>
      </c>
      <c r="AE20">
        <f t="shared" si="1581"/>
        <v>11.205574770625899</v>
      </c>
    </row>
    <row r="21">
      <c r="A21">
        <f t="shared" si="1582"/>
        <v>18</v>
      </c>
      <c r="B21">
        <v>12.652116416514845</v>
      </c>
      <c r="D21">
        <f t="shared" si="1583"/>
        <v>18</v>
      </c>
      <c r="E21">
        <f t="shared" si="1574"/>
        <v>-1.9243598453225099</v>
      </c>
      <c r="F21">
        <f t="shared" si="1585"/>
        <v>-1.39202499294602</v>
      </c>
      <c r="I21" t="s">
        <v>374</v>
      </c>
      <c r="J21" s="10">
        <f>J18*LN(J8/J18)+2*(J10+J11+2)</f>
        <v>43.686511289611403</v>
      </c>
      <c r="V21">
        <f t="shared" si="1575"/>
        <v>18</v>
      </c>
      <c r="W21">
        <f t="shared" si="1576"/>
        <v>-1.9243598453225099</v>
      </c>
      <c r="X21">
        <f t="shared" si="1577"/>
        <v>-1.39202499294602</v>
      </c>
      <c r="Y21">
        <f t="shared" si="1578"/>
        <v>-0.53233485237649003</v>
      </c>
      <c r="Z21">
        <f t="shared" si="1566"/>
        <v>1.18147647624957</v>
      </c>
      <c r="AA21">
        <f t="shared" si="1579"/>
        <v>-2.8479860802643402</v>
      </c>
      <c r="AB21">
        <f t="shared" si="1580"/>
        <v>1.7833163755113599</v>
      </c>
      <c r="AD21">
        <f t="shared" si="1584"/>
        <v>18</v>
      </c>
      <c r="AE21">
        <f t="shared" si="1581"/>
        <v>12.652116416514801</v>
      </c>
    </row>
    <row r="22">
      <c r="A22">
        <f t="shared" si="1582"/>
        <v>19</v>
      </c>
      <c r="B22">
        <v>13.406329168635398</v>
      </c>
      <c r="D22">
        <f t="shared" si="1583"/>
        <v>19</v>
      </c>
      <c r="E22">
        <f t="shared" si="1574"/>
        <v>1.0658319094761</v>
      </c>
      <c r="F22">
        <f t="shared" si="1585"/>
        <v>-1.32741139460625</v>
      </c>
      <c r="I22" t="s">
        <v>508</v>
      </c>
      <c r="J22" s="10">
        <f>J18*LN(J8/J18)+LN(J18)*(J10+J11+2)</f>
        <v>56.762113873817697</v>
      </c>
      <c r="V22">
        <f t="shared" si="1575"/>
        <v>19</v>
      </c>
      <c r="W22">
        <f t="shared" si="1576"/>
        <v>1.0658319094761</v>
      </c>
      <c r="X22">
        <f t="shared" si="1577"/>
        <v>-1.32741139460625</v>
      </c>
      <c r="Y22">
        <f t="shared" si="1578"/>
        <v>2.39324330408235</v>
      </c>
      <c r="Z22">
        <f t="shared" si="1566"/>
        <v>1.18147647624957</v>
      </c>
      <c r="AA22">
        <f t="shared" si="1579"/>
        <v>7.7592076194499982e-02</v>
      </c>
      <c r="AB22">
        <f t="shared" si="1580"/>
        <v>4.7088945319702002</v>
      </c>
      <c r="AD22">
        <f t="shared" si="1584"/>
        <v>19</v>
      </c>
      <c r="AE22">
        <f t="shared" si="1581"/>
        <v>13.4063291686354</v>
      </c>
    </row>
    <row r="23">
      <c r="A23">
        <f t="shared" si="1582"/>
        <v>20</v>
      </c>
      <c r="B23">
        <v>12.231217930183975</v>
      </c>
      <c r="D23">
        <f t="shared" si="1583"/>
        <v>20</v>
      </c>
      <c r="E23">
        <f t="shared" si="1574"/>
        <v>-1.5378779421240101</v>
      </c>
      <c r="F23">
        <f t="shared" si="1585"/>
        <v>-2.5045844960905899</v>
      </c>
      <c r="I23" t="s">
        <v>509</v>
      </c>
      <c r="J23" s="10">
        <f>J18*(1+LN(2*PI()))+J21</f>
        <v>330.31209499695399</v>
      </c>
      <c r="V23">
        <f t="shared" si="1575"/>
        <v>20</v>
      </c>
      <c r="W23">
        <f t="shared" si="1576"/>
        <v>-1.5378779421240101</v>
      </c>
      <c r="X23">
        <f t="shared" si="1577"/>
        <v>-2.5045844960905899</v>
      </c>
      <c r="Y23">
        <f t="shared" si="1578"/>
        <v>0.9667065539665799</v>
      </c>
      <c r="Z23">
        <f t="shared" si="1566"/>
        <v>1.18147647624957</v>
      </c>
      <c r="AA23">
        <f t="shared" si="1579"/>
        <v>-1.34894467392127</v>
      </c>
      <c r="AB23">
        <f t="shared" si="1580"/>
        <v>3.2823577818544298</v>
      </c>
      <c r="AD23">
        <f t="shared" si="1584"/>
        <v>20</v>
      </c>
      <c r="AE23">
        <f t="shared" si="1581"/>
        <v>12.231217930184</v>
      </c>
    </row>
    <row r="24">
      <c r="A24">
        <f t="shared" si="1582"/>
        <v>21</v>
      </c>
      <c r="B24">
        <v>12.116974455959236</v>
      </c>
      <c r="D24">
        <f t="shared" si="1583"/>
        <v>21</v>
      </c>
      <c r="E24">
        <f t="shared" si="1574"/>
        <v>0.64861848356809504</v>
      </c>
      <c r="F24">
        <f t="shared" si="1585"/>
        <v>-2.3168916459947102</v>
      </c>
      <c r="I24" t="s">
        <v>510</v>
      </c>
      <c r="J24" s="13">
        <f>J18*(1+LN(2*PI()))+J22</f>
        <v>343.38769758116098</v>
      </c>
      <c r="V24">
        <f t="shared" si="1575"/>
        <v>21</v>
      </c>
      <c r="W24">
        <f t="shared" si="1576"/>
        <v>0.64861848356809504</v>
      </c>
      <c r="X24">
        <f t="shared" si="1577"/>
        <v>-2.3168916459947102</v>
      </c>
      <c r="Y24">
        <f t="shared" si="1578"/>
        <v>2.9655101295628099</v>
      </c>
      <c r="Z24">
        <f t="shared" si="1566"/>
        <v>1.18147647624957</v>
      </c>
      <c r="AA24">
        <f t="shared" si="1579"/>
        <v>0.64985890167495997</v>
      </c>
      <c r="AB24">
        <f t="shared" si="1580"/>
        <v>5.2811613574506602</v>
      </c>
      <c r="AD24">
        <f t="shared" si="1584"/>
        <v>21</v>
      </c>
      <c r="AE24">
        <f t="shared" si="1581"/>
        <v>12.1169744559592</v>
      </c>
    </row>
    <row r="25">
      <c r="A25">
        <f t="shared" si="1582"/>
        <v>22</v>
      </c>
      <c r="B25">
        <v>10.45988889436091</v>
      </c>
      <c r="D25">
        <f t="shared" si="1583"/>
        <v>22</v>
      </c>
      <c r="E25">
        <f t="shared" si="1574"/>
        <v>2.7529681322421999</v>
      </c>
      <c r="F25">
        <f t="shared" si="1585"/>
        <v>0.70824404760040005</v>
      </c>
      <c r="V25">
        <f t="shared" si="1575"/>
        <v>22</v>
      </c>
      <c r="W25">
        <f t="shared" si="1576"/>
        <v>2.7529681322421999</v>
      </c>
      <c r="X25">
        <f t="shared" si="1577"/>
        <v>0.70824404760040005</v>
      </c>
      <c r="Y25">
        <f t="shared" si="1578"/>
        <v>2.0447240846418002</v>
      </c>
      <c r="Z25">
        <f t="shared" si="1566"/>
        <v>1.18147647624957</v>
      </c>
      <c r="AA25">
        <f t="shared" si="1579"/>
        <v>-0.27092714324605</v>
      </c>
      <c r="AB25">
        <f t="shared" si="1580"/>
        <v>4.3603753125296496</v>
      </c>
      <c r="AD25">
        <f t="shared" si="1584"/>
        <v>22</v>
      </c>
      <c r="AE25">
        <f t="shared" si="1581"/>
        <v>10.459888894360899</v>
      </c>
    </row>
    <row r="26">
      <c r="A26">
        <f t="shared" si="1582"/>
        <v>23</v>
      </c>
      <c r="B26">
        <v>9.4464576710812267</v>
      </c>
      <c r="D26">
        <f t="shared" si="1583"/>
        <v>23</v>
      </c>
      <c r="E26">
        <f t="shared" si="1574"/>
        <v>-5.3252788369121804</v>
      </c>
      <c r="F26">
        <f t="shared" si="1585"/>
        <v>-3.1433243344684501</v>
      </c>
      <c r="I26" t="s">
        <v>496</v>
      </c>
      <c r="J26" s="16" t="s">
        <v>363</v>
      </c>
      <c r="V26">
        <f t="shared" si="1575"/>
        <v>23</v>
      </c>
      <c r="W26">
        <f t="shared" si="1576"/>
        <v>-5.3252788369121804</v>
      </c>
      <c r="X26">
        <f t="shared" si="1577"/>
        <v>-3.1433243344684501</v>
      </c>
      <c r="Y26">
        <f t="shared" si="1578"/>
        <v>-2.1819545024437299</v>
      </c>
      <c r="Z26">
        <f t="shared" si="1566"/>
        <v>1.18147647624957</v>
      </c>
      <c r="AA26">
        <f t="shared" si="1579"/>
        <v>-4.4976057303315802</v>
      </c>
      <c r="AB26">
        <f t="shared" si="1580"/>
        <v>0.13369672544412001</v>
      </c>
      <c r="AD26">
        <f t="shared" si="1584"/>
        <v>23</v>
      </c>
      <c r="AE26">
        <f t="shared" si="1581"/>
        <v>9.4464576710812302</v>
      </c>
    </row>
    <row r="27">
      <c r="A27">
        <f t="shared" si="1582"/>
        <v>24</v>
      </c>
      <c r="B27">
        <v>11.181030434794319</v>
      </c>
      <c r="D27">
        <f t="shared" si="1583"/>
        <v>24</v>
      </c>
      <c r="E27">
        <f t="shared" si="1574"/>
        <v>6.9938060087640999</v>
      </c>
      <c r="F27">
        <f t="shared" si="1585"/>
        <v>1.7220086715402301</v>
      </c>
      <c r="V27">
        <f t="shared" si="1575"/>
        <v>24</v>
      </c>
      <c r="W27">
        <f t="shared" si="1576"/>
        <v>6.9938060087640999</v>
      </c>
      <c r="X27">
        <f t="shared" si="1577"/>
        <v>1.7220086715402301</v>
      </c>
      <c r="Y27">
        <f t="shared" si="1578"/>
        <v>5.2717973372238696</v>
      </c>
      <c r="Z27">
        <f t="shared" si="1566"/>
        <v>1.18147647624957</v>
      </c>
      <c r="AA27">
        <f t="shared" si="1579"/>
        <v>2.9561461093360202</v>
      </c>
      <c r="AB27">
        <f t="shared" si="1580"/>
        <v>7.5874485651117203</v>
      </c>
      <c r="AD27">
        <f t="shared" si="1584"/>
        <v>24</v>
      </c>
      <c r="AE27">
        <f t="shared" si="1581"/>
        <v>11.1810304347943</v>
      </c>
    </row>
    <row r="28">
      <c r="A28">
        <f t="shared" si="1582"/>
        <v>25</v>
      </c>
      <c r="B28">
        <v>7.5853602163456753</v>
      </c>
      <c r="D28">
        <f t="shared" si="1583"/>
        <v>25</v>
      </c>
      <c r="E28">
        <f t="shared" si="1574"/>
        <v>-3.8165141526025299</v>
      </c>
      <c r="F28">
        <f t="shared" si="1585"/>
        <v>0.61747043317404005</v>
      </c>
      <c r="V28">
        <f t="shared" si="1575"/>
        <v>25</v>
      </c>
      <c r="W28">
        <f t="shared" si="1576"/>
        <v>-3.8165141526025299</v>
      </c>
      <c r="X28">
        <f t="shared" si="1577"/>
        <v>0.61747043317404005</v>
      </c>
      <c r="Y28">
        <f t="shared" si="1578"/>
        <v>-4.4339845857765701</v>
      </c>
      <c r="Z28">
        <f t="shared" si="1566"/>
        <v>1.18147647624957</v>
      </c>
      <c r="AA28">
        <f t="shared" si="1579"/>
        <v>-6.7496358136644199</v>
      </c>
      <c r="AB28">
        <f t="shared" si="1580"/>
        <v>-2.1183333578887198</v>
      </c>
      <c r="AD28">
        <f t="shared" si="1584"/>
        <v>25</v>
      </c>
      <c r="AE28">
        <f t="shared" si="1581"/>
        <v>7.5853602163456797</v>
      </c>
    </row>
    <row r="29">
      <c r="A29">
        <f t="shared" si="1582"/>
        <v>26</v>
      </c>
      <c r="B29">
        <v>10.978531861411668</v>
      </c>
      <c r="D29">
        <f t="shared" si="1583"/>
        <v>26</v>
      </c>
      <c r="E29">
        <f t="shared" si="1574"/>
        <v>1.1105070204548</v>
      </c>
      <c r="F29">
        <f t="shared" si="1585"/>
        <v>0.74557162232001695</v>
      </c>
      <c r="V29">
        <f t="shared" si="1575"/>
        <v>26</v>
      </c>
      <c r="W29">
        <f t="shared" si="1576"/>
        <v>1.1105070204548</v>
      </c>
      <c r="X29">
        <f t="shared" si="1577"/>
        <v>0.74557162232001695</v>
      </c>
      <c r="Y29">
        <f t="shared" si="1578"/>
        <v>0.36493539813478298</v>
      </c>
      <c r="Z29">
        <f t="shared" si="1566"/>
        <v>1.18147647624957</v>
      </c>
      <c r="AA29">
        <f t="shared" si="1579"/>
        <v>-1.95071582975307</v>
      </c>
      <c r="AB29">
        <f t="shared" si="1580"/>
        <v>2.6805866260226301</v>
      </c>
      <c r="AD29">
        <f t="shared" si="1584"/>
        <v>26</v>
      </c>
      <c r="AE29">
        <f t="shared" si="1581"/>
        <v>10.9785318614117</v>
      </c>
    </row>
    <row r="30">
      <c r="A30">
        <f t="shared" si="1582"/>
        <v>27</v>
      </c>
      <c r="B30">
        <v>10.550225208625736</v>
      </c>
      <c r="D30">
        <f t="shared" si="1583"/>
        <v>27</v>
      </c>
      <c r="E30">
        <f t="shared" si="1574"/>
        <v>-2.8235621826831099</v>
      </c>
      <c r="F30">
        <f t="shared" si="1585"/>
        <v>-2.1229207561490799</v>
      </c>
      <c r="V30">
        <f t="shared" si="1575"/>
        <v>27</v>
      </c>
      <c r="W30">
        <f t="shared" si="1576"/>
        <v>-2.8235621826831099</v>
      </c>
      <c r="X30">
        <f t="shared" si="1577"/>
        <v>-2.1229207561490799</v>
      </c>
      <c r="Y30">
        <f t="shared" si="1578"/>
        <v>-0.70064142653403005</v>
      </c>
      <c r="Z30">
        <f t="shared" si="1566"/>
        <v>1.18147647624957</v>
      </c>
      <c r="AA30">
        <f t="shared" si="1579"/>
        <v>-3.0162926544218802</v>
      </c>
      <c r="AB30">
        <f t="shared" si="1580"/>
        <v>1.6150098013538201</v>
      </c>
      <c r="AD30">
        <f t="shared" si="1584"/>
        <v>27</v>
      </c>
      <c r="AE30">
        <f t="shared" si="1581"/>
        <v>10.550225208625699</v>
      </c>
    </row>
    <row r="31">
      <c r="A31">
        <f t="shared" si="1582"/>
        <v>28</v>
      </c>
      <c r="B31">
        <v>11.227461431044995</v>
      </c>
      <c r="D31">
        <f t="shared" si="1583"/>
        <v>28</v>
      </c>
      <c r="E31">
        <f t="shared" si="1574"/>
        <v>2.9895785761396398</v>
      </c>
      <c r="F31">
        <f t="shared" si="1585"/>
        <v>-0.2814251676558</v>
      </c>
      <c r="V31">
        <f t="shared" si="1575"/>
        <v>28</v>
      </c>
      <c r="W31">
        <f t="shared" si="1576"/>
        <v>2.9895785761396398</v>
      </c>
      <c r="X31">
        <f t="shared" si="1577"/>
        <v>-0.2814251676558</v>
      </c>
      <c r="Y31">
        <f t="shared" si="1578"/>
        <v>3.2710037437954398</v>
      </c>
      <c r="Z31">
        <f t="shared" si="1566"/>
        <v>1.18147647624957</v>
      </c>
      <c r="AA31">
        <f t="shared" si="1579"/>
        <v>0.95535251590758996</v>
      </c>
      <c r="AB31">
        <f t="shared" si="1580"/>
        <v>5.5866549716832896</v>
      </c>
      <c r="AD31">
        <f t="shared" si="1584"/>
        <v>28</v>
      </c>
      <c r="AE31">
        <f t="shared" si="1581"/>
        <v>11.227461431045</v>
      </c>
    </row>
    <row r="32">
      <c r="A32">
        <f t="shared" si="1582"/>
        <v>29</v>
      </c>
      <c r="B32">
        <v>9.0761713255316874</v>
      </c>
      <c r="D32">
        <f t="shared" si="1583"/>
        <v>29</v>
      </c>
      <c r="E32">
        <f t="shared" si="1574"/>
        <v>0.94577973994518394</v>
      </c>
      <c r="F32">
        <f t="shared" si="1585"/>
        <v>1.81450653527868</v>
      </c>
      <c r="V32">
        <f t="shared" si="1575"/>
        <v>29</v>
      </c>
      <c r="W32">
        <f t="shared" si="1576"/>
        <v>0.94577973994518394</v>
      </c>
      <c r="X32">
        <f t="shared" si="1577"/>
        <v>1.81450653527868</v>
      </c>
      <c r="Y32">
        <f t="shared" si="1578"/>
        <v>-0.86872679533349595</v>
      </c>
      <c r="Z32">
        <f t="shared" si="1566"/>
        <v>1.18147647624957</v>
      </c>
      <c r="AA32">
        <f t="shared" si="1579"/>
        <v>-3.1843780232213499</v>
      </c>
      <c r="AB32">
        <f t="shared" si="1580"/>
        <v>1.44692443255435</v>
      </c>
      <c r="AD32">
        <f t="shared" si="1584"/>
        <v>29</v>
      </c>
      <c r="AE32">
        <f t="shared" si="1581"/>
        <v>9.0761713255316891</v>
      </c>
    </row>
    <row r="33">
      <c r="A33">
        <f t="shared" si="1582"/>
        <v>30</v>
      </c>
      <c r="B33">
        <v>9.9094956509085357</v>
      </c>
      <c r="D33">
        <f t="shared" si="1583"/>
        <v>30</v>
      </c>
      <c r="E33">
        <f t="shared" si="1574"/>
        <v>-4.0636932367584704</v>
      </c>
      <c r="F33">
        <f t="shared" si="1585"/>
        <v>-1.4429141356420201</v>
      </c>
      <c r="V33">
        <f t="shared" si="1575"/>
        <v>30</v>
      </c>
      <c r="W33">
        <f t="shared" si="1576"/>
        <v>-4.0636932367584704</v>
      </c>
      <c r="X33">
        <f t="shared" si="1577"/>
        <v>-1.4429141356420201</v>
      </c>
      <c r="Y33">
        <f t="shared" si="1578"/>
        <v>-2.6207791011164501</v>
      </c>
      <c r="Z33">
        <f t="shared" si="1566"/>
        <v>1.18147647624957</v>
      </c>
      <c r="AA33">
        <f t="shared" si="1579"/>
        <v>-4.9364303290042999</v>
      </c>
      <c r="AB33">
        <f t="shared" si="1580"/>
        <v>-0.30512787322860002</v>
      </c>
      <c r="AD33">
        <f t="shared" si="1584"/>
        <v>30</v>
      </c>
      <c r="AE33">
        <f t="shared" si="1581"/>
        <v>9.9094956509085392</v>
      </c>
    </row>
    <row r="34">
      <c r="A34">
        <f t="shared" si="1582"/>
        <v>31</v>
      </c>
      <c r="B34">
        <v>11.683635570981137</v>
      </c>
      <c r="D34">
        <f t="shared" si="1583"/>
        <v>31</v>
      </c>
      <c r="E34">
        <f t="shared" si="1574"/>
        <v>4.1913308511028999</v>
      </c>
      <c r="F34">
        <f t="shared" si="1585"/>
        <v>0.88444512196905989</v>
      </c>
      <c r="V34">
        <f t="shared" si="1575"/>
        <v>31</v>
      </c>
      <c r="W34">
        <f t="shared" si="1576"/>
        <v>4.1913308511028999</v>
      </c>
      <c r="X34">
        <f t="shared" si="1577"/>
        <v>0.88444512196905989</v>
      </c>
      <c r="Y34">
        <f t="shared" si="1578"/>
        <v>3.3068857291338398</v>
      </c>
      <c r="Z34">
        <f t="shared" si="1566"/>
        <v>1.18147647624957</v>
      </c>
      <c r="AA34">
        <f t="shared" si="1579"/>
        <v>0.99123450124599</v>
      </c>
      <c r="AB34">
        <f t="shared" si="1580"/>
        <v>5.6225369570216897</v>
      </c>
      <c r="AD34">
        <f t="shared" si="1584"/>
        <v>31</v>
      </c>
      <c r="AE34">
        <f t="shared" si="1581"/>
        <v>11.6836355709811</v>
      </c>
    </row>
    <row r="35">
      <c r="A35">
        <f t="shared" si="1582"/>
        <v>32</v>
      </c>
      <c r="B35">
        <v>9.3891181090456559</v>
      </c>
      <c r="D35">
        <f t="shared" si="1583"/>
        <v>32</v>
      </c>
      <c r="E35">
        <f t="shared" si="1574"/>
        <v>-4.0901523972946503</v>
      </c>
      <c r="F35">
        <f t="shared" si="1585"/>
        <v>-1.69973448263229</v>
      </c>
      <c r="V35">
        <f t="shared" si="1575"/>
        <v>32</v>
      </c>
      <c r="W35">
        <f t="shared" si="1576"/>
        <v>-4.0901523972946503</v>
      </c>
      <c r="X35">
        <f t="shared" si="1577"/>
        <v>-1.69973448263229</v>
      </c>
      <c r="Y35">
        <f t="shared" si="1578"/>
        <v>-2.3904179146623599</v>
      </c>
      <c r="Z35">
        <f t="shared" si="1566"/>
        <v>1.18147647624957</v>
      </c>
      <c r="AA35">
        <f t="shared" si="1579"/>
        <v>-4.7060691425502101</v>
      </c>
      <c r="AB35">
        <f t="shared" si="1580"/>
        <v>-7.4766686774509997e-02</v>
      </c>
      <c r="AD35">
        <f t="shared" si="1584"/>
        <v>32</v>
      </c>
      <c r="AE35">
        <f t="shared" si="1581"/>
        <v>9.3891181090456595</v>
      </c>
    </row>
    <row r="36">
      <c r="A36">
        <f t="shared" si="1582"/>
        <v>33</v>
      </c>
      <c r="B36">
        <v>11.280967352963559</v>
      </c>
      <c r="D36">
        <f t="shared" si="1583"/>
        <v>33</v>
      </c>
      <c r="E36">
        <f t="shared" si="1574"/>
        <v>2.5523834692485901</v>
      </c>
      <c r="F36">
        <f t="shared" si="1585"/>
        <v>-0.5239384223261</v>
      </c>
      <c r="V36">
        <f t="shared" si="1575"/>
        <v>33</v>
      </c>
      <c r="W36">
        <f t="shared" si="1576"/>
        <v>2.5523834692485901</v>
      </c>
      <c r="X36">
        <f t="shared" si="1577"/>
        <v>-0.5239384223261</v>
      </c>
      <c r="Y36">
        <f t="shared" si="1578"/>
        <v>3.0763218915746902</v>
      </c>
      <c r="Z36">
        <f t="shared" si="1566"/>
        <v>1.18147647624957</v>
      </c>
      <c r="AA36">
        <f t="shared" si="1579"/>
        <v>0.76067066368684</v>
      </c>
      <c r="AB36">
        <f t="shared" si="1580"/>
        <v>5.3919731194625404</v>
      </c>
      <c r="AD36">
        <f t="shared" si="1584"/>
        <v>33</v>
      </c>
      <c r="AE36">
        <f t="shared" si="1581"/>
        <v>11.2809673529636</v>
      </c>
    </row>
    <row r="37">
      <c r="A37">
        <f t="shared" si="1582"/>
        <v>34</v>
      </c>
      <c r="B37">
        <v>9.0777000543373685</v>
      </c>
      <c r="D37">
        <f t="shared" si="1583"/>
        <v>34</v>
      </c>
      <c r="E37">
        <f t="shared" si="1574"/>
        <v>1.00763080689267</v>
      </c>
      <c r="F37">
        <f t="shared" si="1585"/>
        <v>1.2359343838269099</v>
      </c>
      <c r="V37">
        <f t="shared" si="1575"/>
        <v>34</v>
      </c>
      <c r="W37">
        <f t="shared" si="1576"/>
        <v>1.00763080689267</v>
      </c>
      <c r="X37">
        <f t="shared" si="1577"/>
        <v>1.2359343838269099</v>
      </c>
      <c r="Y37">
        <f t="shared" si="1578"/>
        <v>-0.22830357693424</v>
      </c>
      <c r="Z37">
        <f t="shared" si="1566"/>
        <v>1.18147647624957</v>
      </c>
      <c r="AA37">
        <f t="shared" si="1579"/>
        <v>-2.5439548048220901</v>
      </c>
      <c r="AB37">
        <f t="shared" si="1580"/>
        <v>2.08734765095361</v>
      </c>
      <c r="AD37">
        <f t="shared" si="1584"/>
        <v>34</v>
      </c>
      <c r="AE37">
        <f t="shared" si="1581"/>
        <v>9.0777000543373703</v>
      </c>
    </row>
    <row r="38">
      <c r="A38">
        <f t="shared" si="1582"/>
        <v>35</v>
      </c>
      <c r="B38">
        <v>9.4218520797101899</v>
      </c>
      <c r="D38">
        <f t="shared" si="1583"/>
        <v>35</v>
      </c>
      <c r="E38">
        <f t="shared" si="1574"/>
        <v>-2.0658388822721201</v>
      </c>
      <c r="F38">
        <f t="shared" si="1585"/>
        <v>-1.5492392745779999e-02</v>
      </c>
      <c r="V38">
        <f t="shared" si="1575"/>
        <v>35</v>
      </c>
      <c r="W38">
        <f t="shared" si="1576"/>
        <v>-2.0658388822721201</v>
      </c>
      <c r="X38">
        <f t="shared" si="1577"/>
        <v>-1.5492392745779999e-02</v>
      </c>
      <c r="Y38">
        <f t="shared" si="1578"/>
        <v>-2.0503464895263401</v>
      </c>
      <c r="Z38">
        <f t="shared" si="1566"/>
        <v>1.18147647624957</v>
      </c>
      <c r="AA38">
        <f t="shared" si="1579"/>
        <v>-4.3659977174141904</v>
      </c>
      <c r="AB38">
        <f t="shared" si="1580"/>
        <v>0.26530473836150997</v>
      </c>
      <c r="AD38">
        <f t="shared" si="1584"/>
        <v>35</v>
      </c>
      <c r="AE38">
        <f t="shared" si="1581"/>
        <v>9.4218520797101899</v>
      </c>
    </row>
    <row r="39">
      <c r="A39">
        <f t="shared" si="1582"/>
        <v>36</v>
      </c>
      <c r="B39">
        <v>10.768670766726222</v>
      </c>
      <c r="D39">
        <f t="shared" si="1583"/>
        <v>36</v>
      </c>
      <c r="E39">
        <f t="shared" si="1574"/>
        <v>0.18690960040659299</v>
      </c>
      <c r="F39">
        <f t="shared" si="1585"/>
        <v>-0.74880164811829197</v>
      </c>
      <c r="V39">
        <f t="shared" si="1575"/>
        <v>36</v>
      </c>
      <c r="W39">
        <f t="shared" si="1576"/>
        <v>0.18690960040659299</v>
      </c>
      <c r="X39">
        <f t="shared" si="1577"/>
        <v>-0.74880164811829197</v>
      </c>
      <c r="Y39">
        <f t="shared" si="1578"/>
        <v>0.93571124852488496</v>
      </c>
      <c r="Z39">
        <f t="shared" si="1566"/>
        <v>1.18147647624957</v>
      </c>
      <c r="AA39">
        <f t="shared" si="1579"/>
        <v>-1.3799399793629601</v>
      </c>
      <c r="AB39">
        <f t="shared" si="1580"/>
        <v>3.2513624764127398</v>
      </c>
      <c r="AD39">
        <f t="shared" si="1584"/>
        <v>36</v>
      </c>
      <c r="AE39">
        <f t="shared" si="1581"/>
        <v>10.768670766726199</v>
      </c>
    </row>
    <row r="40">
      <c r="A40">
        <f t="shared" si="1582"/>
        <v>37</v>
      </c>
      <c r="B40">
        <v>10.044686426220611</v>
      </c>
      <c r="D40">
        <f t="shared" si="1583"/>
        <v>37</v>
      </c>
      <c r="E40">
        <f t="shared" si="1574"/>
        <v>3.0609906349357998</v>
      </c>
      <c r="F40">
        <f t="shared" si="1585"/>
        <v>2.15497161118439</v>
      </c>
      <c r="V40">
        <f t="shared" si="1575"/>
        <v>37</v>
      </c>
      <c r="W40">
        <f t="shared" si="1576"/>
        <v>3.0609906349357998</v>
      </c>
      <c r="X40">
        <f t="shared" si="1577"/>
        <v>2.15497161118439</v>
      </c>
      <c r="Y40">
        <f t="shared" si="1578"/>
        <v>0.90601902375140997</v>
      </c>
      <c r="Z40">
        <f t="shared" si="1566"/>
        <v>1.18147647624957</v>
      </c>
      <c r="AA40">
        <f t="shared" si="1579"/>
        <v>-1.40963220413644</v>
      </c>
      <c r="AB40">
        <f t="shared" si="1580"/>
        <v>3.2216702516392601</v>
      </c>
      <c r="AD40">
        <f t="shared" si="1584"/>
        <v>37</v>
      </c>
      <c r="AE40">
        <f t="shared" si="1581"/>
        <v>10.044686426220601</v>
      </c>
    </row>
    <row r="41">
      <c r="A41">
        <f t="shared" si="1582"/>
        <v>38</v>
      </c>
      <c r="B41">
        <v>9.5026475408720934</v>
      </c>
      <c r="D41">
        <f t="shared" si="1583"/>
        <v>38</v>
      </c>
      <c r="E41">
        <f t="shared" si="1574"/>
        <v>-4.9180761798346104</v>
      </c>
      <c r="F41">
        <f t="shared" si="1585"/>
        <v>-1.30115889700145</v>
      </c>
      <c r="V41">
        <f t="shared" si="1575"/>
        <v>38</v>
      </c>
      <c r="W41">
        <f t="shared" si="1576"/>
        <v>-4.9180761798346104</v>
      </c>
      <c r="X41">
        <f t="shared" si="1577"/>
        <v>-1.30115889700145</v>
      </c>
      <c r="Y41">
        <f t="shared" si="1578"/>
        <v>-3.6169172828331599</v>
      </c>
      <c r="Z41">
        <f t="shared" si="1566"/>
        <v>1.18147647624957</v>
      </c>
      <c r="AA41">
        <f t="shared" si="1579"/>
        <v>-5.9325685107210102</v>
      </c>
      <c r="AB41">
        <f t="shared" si="1580"/>
        <v>-1.3012660549453099</v>
      </c>
      <c r="AD41">
        <f t="shared" si="1584"/>
        <v>38</v>
      </c>
      <c r="AE41">
        <f t="shared" si="1581"/>
        <v>9.5026475408721005</v>
      </c>
    </row>
    <row r="42">
      <c r="A42">
        <f t="shared" si="1582"/>
        <v>39</v>
      </c>
      <c r="B42">
        <v>12.016635145209888</v>
      </c>
      <c r="D42">
        <f t="shared" si="1583"/>
        <v>39</v>
      </c>
      <c r="E42">
        <f t="shared" si="1574"/>
        <v>3.2852331481423001</v>
      </c>
      <c r="F42">
        <f t="shared" si="1585"/>
        <v>-1.831554995625e-02</v>
      </c>
      <c r="V42">
        <f t="shared" si="1575"/>
        <v>39</v>
      </c>
      <c r="W42">
        <f t="shared" si="1576"/>
        <v>3.2852331481423001</v>
      </c>
      <c r="X42">
        <f t="shared" si="1577"/>
        <v>-1.831554995625e-02</v>
      </c>
      <c r="Y42">
        <f t="shared" si="1578"/>
        <v>3.3035486980985498</v>
      </c>
      <c r="Z42">
        <f t="shared" si="1566"/>
        <v>1.18147647624957</v>
      </c>
      <c r="AA42">
        <f t="shared" si="1579"/>
        <v>0.98789747021069996</v>
      </c>
      <c r="AB42">
        <f t="shared" si="1580"/>
        <v>5.6191999259863996</v>
      </c>
      <c r="AD42">
        <f t="shared" si="1584"/>
        <v>39</v>
      </c>
      <c r="AE42">
        <f t="shared" si="1581"/>
        <v>12.0166351452099</v>
      </c>
    </row>
    <row r="43">
      <c r="A43">
        <f t="shared" si="1582"/>
        <v>40</v>
      </c>
      <c r="B43">
        <v>9.6075824244635548</v>
      </c>
      <c r="D43">
        <f t="shared" si="1583"/>
        <v>40</v>
      </c>
      <c r="E43">
        <f t="shared" si="1574"/>
        <v>-1.2139048473888501</v>
      </c>
      <c r="F43">
        <f t="shared" si="1585"/>
        <v>-0.25906442514442801</v>
      </c>
      <c r="V43">
        <f t="shared" si="1575"/>
        <v>40</v>
      </c>
      <c r="W43">
        <f t="shared" si="1576"/>
        <v>-1.2139048473888501</v>
      </c>
      <c r="X43">
        <f t="shared" si="1577"/>
        <v>-0.25906442514442801</v>
      </c>
      <c r="Y43">
        <f t="shared" si="1578"/>
        <v>-0.95484042224442189</v>
      </c>
      <c r="Z43">
        <f t="shared" si="1566"/>
        <v>1.18147647624957</v>
      </c>
      <c r="AA43">
        <f t="shared" si="1579"/>
        <v>-3.2704916501322701</v>
      </c>
      <c r="AB43">
        <f t="shared" si="1580"/>
        <v>1.36081080564343</v>
      </c>
      <c r="AD43">
        <f t="shared" si="1584"/>
        <v>40</v>
      </c>
      <c r="AE43">
        <f t="shared" si="1581"/>
        <v>9.6075824244635601</v>
      </c>
    </row>
    <row r="44">
      <c r="A44">
        <f t="shared" si="1582"/>
        <v>41</v>
      </c>
      <c r="B44">
        <v>10.47879870661002</v>
      </c>
      <c r="D44">
        <f t="shared" si="1583"/>
        <v>41</v>
      </c>
      <c r="E44">
        <f t="shared" si="1574"/>
        <v>-0.46827614728280398</v>
      </c>
      <c r="F44">
        <f t="shared" si="1585"/>
        <v>-0.84963684520014005</v>
      </c>
      <c r="V44">
        <f t="shared" si="1575"/>
        <v>41</v>
      </c>
      <c r="W44">
        <f t="shared" si="1576"/>
        <v>-0.46827614728280398</v>
      </c>
      <c r="X44">
        <f t="shared" si="1577"/>
        <v>-0.84963684520014005</v>
      </c>
      <c r="Y44">
        <f t="shared" si="1578"/>
        <v>0.38136069791733601</v>
      </c>
      <c r="Z44">
        <f t="shared" si="1566"/>
        <v>1.18147647624957</v>
      </c>
      <c r="AA44">
        <f t="shared" si="1579"/>
        <v>-1.93429052997051</v>
      </c>
      <c r="AB44">
        <f t="shared" si="1580"/>
        <v>2.6970119258051901</v>
      </c>
      <c r="AD44">
        <f t="shared" si="1584"/>
        <v>41</v>
      </c>
      <c r="AE44">
        <f t="shared" si="1581"/>
        <v>10.47879870661</v>
      </c>
    </row>
    <row r="45">
      <c r="A45">
        <f t="shared" si="1582"/>
        <v>42</v>
      </c>
      <c r="B45">
        <v>10.131145996118136</v>
      </c>
      <c r="D45">
        <f t="shared" si="1583"/>
        <v>42</v>
      </c>
      <c r="E45">
        <f t="shared" si="1574"/>
        <v>1.4688416121596199</v>
      </c>
      <c r="F45">
        <f t="shared" si="1585"/>
        <v>0.25615546439770098</v>
      </c>
      <c r="V45">
        <f t="shared" si="1575"/>
        <v>42</v>
      </c>
      <c r="W45">
        <f t="shared" si="1576"/>
        <v>1.4688416121596199</v>
      </c>
      <c r="X45">
        <f t="shared" si="1577"/>
        <v>0.25615546439770098</v>
      </c>
      <c r="Y45">
        <f t="shared" si="1578"/>
        <v>1.21268614776192</v>
      </c>
      <c r="Z45">
        <f t="shared" si="1566"/>
        <v>1.18147647624957</v>
      </c>
      <c r="AA45">
        <f t="shared" si="1579"/>
        <v>-1.1029650801259301</v>
      </c>
      <c r="AB45">
        <f t="shared" si="1580"/>
        <v>3.52833737564977</v>
      </c>
      <c r="AD45">
        <f t="shared" si="1584"/>
        <v>42</v>
      </c>
      <c r="AE45">
        <f t="shared" si="1581"/>
        <v>10.1311459961181</v>
      </c>
    </row>
    <row r="46">
      <c r="A46">
        <f t="shared" si="1582"/>
        <v>43</v>
      </c>
      <c r="B46">
        <v>9.3102529930939451</v>
      </c>
      <c r="D46">
        <f t="shared" si="1583"/>
        <v>43</v>
      </c>
      <c r="E46">
        <f t="shared" si="1574"/>
        <v>-0.65917480158679398</v>
      </c>
      <c r="F46">
        <f t="shared" si="1585"/>
        <v>0.27077175725456698</v>
      </c>
      <c r="V46">
        <f t="shared" si="1575"/>
        <v>43</v>
      </c>
      <c r="W46">
        <f t="shared" si="1576"/>
        <v>-0.65917480158679398</v>
      </c>
      <c r="X46">
        <f t="shared" si="1577"/>
        <v>0.27077175725456698</v>
      </c>
      <c r="Y46">
        <f t="shared" si="1578"/>
        <v>-0.92994655884136113</v>
      </c>
      <c r="Z46">
        <f t="shared" si="1566"/>
        <v>1.18147647624957</v>
      </c>
      <c r="AA46">
        <f t="shared" si="1579"/>
        <v>-3.2455977867292098</v>
      </c>
      <c r="AB46">
        <f t="shared" si="1580"/>
        <v>1.38570466904649</v>
      </c>
      <c r="AD46">
        <f t="shared" si="1584"/>
        <v>43</v>
      </c>
      <c r="AE46">
        <f t="shared" si="1581"/>
        <v>9.3102529930939504</v>
      </c>
    </row>
    <row r="47">
      <c r="A47">
        <f t="shared" si="1582"/>
        <v>44</v>
      </c>
      <c r="B47">
        <v>9.9532374569799149</v>
      </c>
      <c r="D47">
        <f t="shared" si="1583"/>
        <v>44</v>
      </c>
      <c r="E47">
        <f t="shared" si="1574"/>
        <v>1.7291376336589199</v>
      </c>
      <c r="F47">
        <f t="shared" si="1585"/>
        <v>1.8573845991467599</v>
      </c>
      <c r="V47">
        <f t="shared" si="1575"/>
        <v>44</v>
      </c>
      <c r="W47">
        <f t="shared" si="1576"/>
        <v>1.7291376336589199</v>
      </c>
      <c r="X47">
        <f t="shared" si="1577"/>
        <v>1.8573845991467599</v>
      </c>
      <c r="Y47">
        <f t="shared" si="1578"/>
        <v>-0.12824696548784001</v>
      </c>
      <c r="Z47">
        <f t="shared" si="1566"/>
        <v>1.18147647624957</v>
      </c>
      <c r="AA47">
        <f t="shared" si="1579"/>
        <v>-2.44389819337569</v>
      </c>
      <c r="AB47">
        <f t="shared" si="1580"/>
        <v>2.1874042624000101</v>
      </c>
      <c r="AD47">
        <f t="shared" si="1584"/>
        <v>44</v>
      </c>
      <c r="AE47">
        <f t="shared" si="1581"/>
        <v>9.9532374569799202</v>
      </c>
    </row>
    <row r="48">
      <c r="A48">
        <f t="shared" si="1582"/>
        <v>45</v>
      </c>
      <c r="B48">
        <v>9.9320829740295604</v>
      </c>
      <c r="D48">
        <f t="shared" si="1583"/>
        <v>45</v>
      </c>
      <c r="E48">
        <f t="shared" si="1574"/>
        <v>-2.9049140172999501</v>
      </c>
      <c r="F48">
        <f t="shared" si="1585"/>
        <v>-0.38093984503039002</v>
      </c>
      <c r="V48">
        <f t="shared" si="1575"/>
        <v>45</v>
      </c>
      <c r="W48">
        <f t="shared" si="1576"/>
        <v>-2.9049140172999501</v>
      </c>
      <c r="X48">
        <f t="shared" si="1577"/>
        <v>-0.38093984503039002</v>
      </c>
      <c r="Y48">
        <f t="shared" si="1578"/>
        <v>-2.5239741722695599</v>
      </c>
      <c r="Z48">
        <f t="shared" si="1566"/>
        <v>1.18147647624957</v>
      </c>
      <c r="AA48">
        <f t="shared" si="1579"/>
        <v>-4.8396254001574102</v>
      </c>
      <c r="AB48">
        <f t="shared" si="1580"/>
        <v>-0.20832294438171001</v>
      </c>
      <c r="AD48">
        <f t="shared" si="1584"/>
        <v>45</v>
      </c>
      <c r="AE48">
        <f t="shared" si="1581"/>
        <v>9.9320829740295604</v>
      </c>
    </row>
    <row r="49">
      <c r="A49">
        <f t="shared" si="1582"/>
        <v>46</v>
      </c>
      <c r="B49">
        <v>11.635101979488615</v>
      </c>
      <c r="D49">
        <f t="shared" si="1583"/>
        <v>46</v>
      </c>
      <c r="E49">
        <f t="shared" si="1574"/>
        <v>0.47781116569149501</v>
      </c>
      <c r="F49">
        <f t="shared" si="1585"/>
        <v>-1.12513650236854</v>
      </c>
      <c r="V49">
        <f t="shared" si="1575"/>
        <v>46</v>
      </c>
      <c r="W49">
        <f t="shared" si="1576"/>
        <v>0.47781116569149501</v>
      </c>
      <c r="X49">
        <f t="shared" si="1577"/>
        <v>-1.12513650236854</v>
      </c>
      <c r="Y49">
        <f t="shared" si="1578"/>
        <v>1.6029476680600401</v>
      </c>
      <c r="Z49">
        <f t="shared" si="1566"/>
        <v>1.18147647624957</v>
      </c>
      <c r="AA49">
        <f t="shared" si="1579"/>
        <v>-0.71270355982780997</v>
      </c>
      <c r="AB49">
        <f t="shared" si="1580"/>
        <v>3.9185988959478899</v>
      </c>
      <c r="AD49">
        <f t="shared" si="1584"/>
        <v>46</v>
      </c>
      <c r="AE49">
        <f t="shared" si="1581"/>
        <v>11.635101979488599</v>
      </c>
    </row>
    <row r="50">
      <c r="A50">
        <f t="shared" si="1582"/>
        <v>47</v>
      </c>
      <c r="B50">
        <v>10.428242822398191</v>
      </c>
      <c r="D50">
        <f t="shared" si="1583"/>
        <v>47</v>
      </c>
      <c r="E50">
        <f t="shared" si="1574"/>
        <v>1.2137823485250001</v>
      </c>
      <c r="F50">
        <f t="shared" si="1585"/>
        <v>-1.5818697396880001e-02</v>
      </c>
      <c r="V50">
        <f t="shared" si="1575"/>
        <v>47</v>
      </c>
      <c r="W50">
        <f t="shared" si="1576"/>
        <v>1.2137823485250001</v>
      </c>
      <c r="X50">
        <f t="shared" si="1577"/>
        <v>-1.5818697396880001e-02</v>
      </c>
      <c r="Y50">
        <f t="shared" si="1578"/>
        <v>1.22960104592188</v>
      </c>
      <c r="Z50">
        <f t="shared" si="1566"/>
        <v>1.18147647624957</v>
      </c>
      <c r="AA50">
        <f t="shared" si="1579"/>
        <v>-1.08605018196597</v>
      </c>
      <c r="AB50">
        <f t="shared" si="1580"/>
        <v>3.5452522738097301</v>
      </c>
      <c r="AD50">
        <f t="shared" si="1584"/>
        <v>47</v>
      </c>
      <c r="AE50">
        <f t="shared" si="1581"/>
        <v>10.4282428223982</v>
      </c>
    </row>
    <row r="51">
      <c r="A51">
        <f t="shared" si="1582"/>
        <v>48</v>
      </c>
      <c r="B51">
        <v>9.6942306857497602</v>
      </c>
      <c r="D51">
        <f t="shared" si="1583"/>
        <v>48</v>
      </c>
      <c r="E51">
        <f t="shared" si="1574"/>
        <v>-0.152222961164345</v>
      </c>
      <c r="F51">
        <f t="shared" si="1585"/>
        <v>0.53356890268250001</v>
      </c>
      <c r="V51">
        <f t="shared" si="1575"/>
        <v>48</v>
      </c>
      <c r="W51">
        <f t="shared" si="1576"/>
        <v>-0.152222961164345</v>
      </c>
      <c r="X51">
        <f t="shared" si="1577"/>
        <v>0.53356890268250001</v>
      </c>
      <c r="Y51">
        <f t="shared" si="1578"/>
        <v>-0.68579186384684498</v>
      </c>
      <c r="Z51">
        <f t="shared" si="1566"/>
        <v>1.18147647624957</v>
      </c>
      <c r="AA51">
        <f t="shared" si="1579"/>
        <v>-3.0014430917346999</v>
      </c>
      <c r="AB51">
        <f t="shared" si="1580"/>
        <v>1.62985936404101</v>
      </c>
      <c r="AD51">
        <f t="shared" si="1584"/>
        <v>48</v>
      </c>
      <c r="AE51">
        <f t="shared" si="1581"/>
        <v>9.6942306857497602</v>
      </c>
    </row>
    <row r="52">
      <c r="A52">
        <f t="shared" si="1582"/>
        <v>49</v>
      </c>
      <c r="B52">
        <v>10.169036752376758</v>
      </c>
      <c r="D52">
        <f t="shared" si="1583"/>
        <v>49</v>
      </c>
      <c r="E52">
        <f t="shared" si="1574"/>
        <v>-0.143160887500905</v>
      </c>
      <c r="F52">
        <f t="shared" si="1585"/>
        <v>0.45414089224336801</v>
      </c>
      <c r="V52">
        <f t="shared" si="1575"/>
        <v>49</v>
      </c>
      <c r="W52">
        <f t="shared" si="1576"/>
        <v>-0.143160887500905</v>
      </c>
      <c r="X52">
        <f t="shared" si="1577"/>
        <v>0.45414089224336801</v>
      </c>
      <c r="Y52">
        <f t="shared" si="1578"/>
        <v>-0.59730177974427301</v>
      </c>
      <c r="Z52">
        <f t="shared" si="1566"/>
        <v>1.18147647624957</v>
      </c>
      <c r="AA52">
        <f t="shared" si="1579"/>
        <v>-2.9129530076321202</v>
      </c>
      <c r="AB52">
        <f t="shared" si="1580"/>
        <v>1.7183494481435799</v>
      </c>
      <c r="AD52">
        <f t="shared" si="1584"/>
        <v>49</v>
      </c>
      <c r="AE52">
        <f t="shared" si="1581"/>
        <v>10.169036752376799</v>
      </c>
    </row>
    <row r="53">
      <c r="A53">
        <f t="shared" si="1582"/>
        <v>50</v>
      </c>
      <c r="B53">
        <v>10.486655712590014</v>
      </c>
      <c r="D53">
        <f t="shared" si="1583"/>
        <v>50</v>
      </c>
      <c r="E53">
        <f t="shared" si="1574"/>
        <v>-0.69136185565010499</v>
      </c>
      <c r="F53">
        <f t="shared" si="1585"/>
        <v>-0.36637229804906701</v>
      </c>
      <c r="V53">
        <f t="shared" si="1575"/>
        <v>50</v>
      </c>
      <c r="W53">
        <f t="shared" si="1576"/>
        <v>-0.69136185565010499</v>
      </c>
      <c r="X53">
        <f t="shared" si="1577"/>
        <v>-0.36637229804906701</v>
      </c>
      <c r="Y53">
        <f t="shared" si="1578"/>
        <v>-0.32498955760103798</v>
      </c>
      <c r="Z53">
        <f t="shared" si="1566"/>
        <v>1.18147647624957</v>
      </c>
      <c r="AA53">
        <f t="shared" si="1579"/>
        <v>-2.6406407854888898</v>
      </c>
      <c r="AB53">
        <f t="shared" si="1580"/>
        <v>1.9906616702868101</v>
      </c>
      <c r="AD53">
        <f t="shared" si="1584"/>
        <v>50</v>
      </c>
      <c r="AE53">
        <f t="shared" si="1581"/>
        <v>10.48665571259</v>
      </c>
    </row>
    <row r="54">
      <c r="A54">
        <f t="shared" si="1582"/>
        <v>51</v>
      </c>
      <c r="B54">
        <v>10.656149640052815</v>
      </c>
      <c r="D54">
        <f t="shared" si="1583"/>
        <v>51</v>
      </c>
      <c r="E54">
        <f t="shared" si="1574"/>
        <v>-0.63121559551150597</v>
      </c>
      <c r="F54">
        <f t="shared" si="1585"/>
        <v>-1.3513559267587201</v>
      </c>
      <c r="V54">
        <f t="shared" si="1575"/>
        <v>51</v>
      </c>
      <c r="W54">
        <f t="shared" si="1576"/>
        <v>-0.63121559551150597</v>
      </c>
      <c r="X54">
        <f t="shared" si="1577"/>
        <v>-1.3513559267587201</v>
      </c>
      <c r="Y54">
        <f t="shared" si="1578"/>
        <v>0.72014033124721399</v>
      </c>
      <c r="Z54">
        <f t="shared" si="1566"/>
        <v>1.18147647624957</v>
      </c>
      <c r="AA54">
        <f t="shared" si="1579"/>
        <v>-1.5955108966406399</v>
      </c>
      <c r="AB54">
        <f t="shared" si="1580"/>
        <v>3.0357915591350602</v>
      </c>
      <c r="AD54">
        <f t="shared" si="1584"/>
        <v>51</v>
      </c>
      <c r="AE54">
        <f t="shared" si="1581"/>
        <v>10.656149640052799</v>
      </c>
    </row>
    <row r="55">
      <c r="A55">
        <f t="shared" si="1582"/>
        <v>52</v>
      </c>
      <c r="B55">
        <v>10.129317566616013</v>
      </c>
      <c r="D55">
        <f t="shared" si="1583"/>
        <v>52</v>
      </c>
      <c r="E55">
        <f t="shared" si="1574"/>
        <v>0.30842164602157601</v>
      </c>
      <c r="F55">
        <f t="shared" si="1585"/>
        <v>-1.3770839923575799</v>
      </c>
      <c r="V55">
        <f t="shared" si="1575"/>
        <v>52</v>
      </c>
      <c r="W55">
        <f t="shared" si="1576"/>
        <v>0.30842164602157601</v>
      </c>
      <c r="X55">
        <f t="shared" si="1577"/>
        <v>-1.3770839923575799</v>
      </c>
      <c r="Y55">
        <f t="shared" si="1578"/>
        <v>1.68550563837916</v>
      </c>
      <c r="Z55">
        <f t="shared" si="1566"/>
        <v>1.18147647624957</v>
      </c>
      <c r="AA55">
        <f t="shared" si="1579"/>
        <v>-0.63014558950869004</v>
      </c>
      <c r="AB55">
        <f t="shared" si="1580"/>
        <v>4.0011568662670101</v>
      </c>
      <c r="AD55">
        <f t="shared" si="1584"/>
        <v>52</v>
      </c>
      <c r="AE55">
        <f t="shared" si="1581"/>
        <v>10.129317566616001</v>
      </c>
    </row>
    <row r="56">
      <c r="A56">
        <f t="shared" si="1582"/>
        <v>53</v>
      </c>
      <c r="B56">
        <v>8.9663057524182062</v>
      </c>
      <c r="D56">
        <f t="shared" si="1583"/>
        <v>53</v>
      </c>
      <c r="E56">
        <f t="shared" si="1574"/>
        <v>1.4316657775342101</v>
      </c>
      <c r="F56">
        <f t="shared" si="1585"/>
        <v>0.21845228603019001</v>
      </c>
      <c r="V56">
        <f t="shared" si="1575"/>
        <v>53</v>
      </c>
      <c r="W56">
        <f t="shared" si="1576"/>
        <v>1.4316657775342101</v>
      </c>
      <c r="X56">
        <f t="shared" si="1577"/>
        <v>0.21845228603019001</v>
      </c>
      <c r="Y56">
        <f t="shared" si="1578"/>
        <v>1.21321349150402</v>
      </c>
      <c r="Z56">
        <f t="shared" si="1566"/>
        <v>1.18147647624957</v>
      </c>
      <c r="AA56">
        <f t="shared" si="1579"/>
        <v>-1.10243773638383</v>
      </c>
      <c r="AB56">
        <f t="shared" si="1580"/>
        <v>3.5288647193918701</v>
      </c>
      <c r="AD56">
        <f t="shared" si="1584"/>
        <v>53</v>
      </c>
      <c r="AE56">
        <f t="shared" si="1581"/>
        <v>8.9663057524182097</v>
      </c>
    </row>
    <row r="57">
      <c r="A57">
        <f t="shared" si="1582"/>
        <v>54</v>
      </c>
      <c r="B57">
        <v>8.1067514389924806</v>
      </c>
      <c r="D57">
        <f t="shared" si="1583"/>
        <v>54</v>
      </c>
      <c r="E57">
        <f t="shared" si="1574"/>
        <v>-0.49621980770175506</v>
      </c>
      <c r="F57">
        <f t="shared" si="1585"/>
        <v>0.49497826022174102</v>
      </c>
      <c r="V57">
        <f t="shared" si="1575"/>
        <v>54</v>
      </c>
      <c r="W57">
        <f t="shared" si="1576"/>
        <v>-0.49621980770175506</v>
      </c>
      <c r="X57">
        <f t="shared" si="1577"/>
        <v>0.49497826022174102</v>
      </c>
      <c r="Y57">
        <f t="shared" si="1578"/>
        <v>-0.99119806792349596</v>
      </c>
      <c r="Z57">
        <f t="shared" si="1566"/>
        <v>1.18147647624957</v>
      </c>
      <c r="AA57">
        <f t="shared" si="1579"/>
        <v>-3.3068492958113498</v>
      </c>
      <c r="AB57">
        <f t="shared" si="1580"/>
        <v>1.3244531599643501</v>
      </c>
      <c r="AD57">
        <f t="shared" si="1584"/>
        <v>54</v>
      </c>
      <c r="AE57">
        <f t="shared" si="1581"/>
        <v>8.1067514389924806</v>
      </c>
    </row>
    <row r="58">
      <c r="A58">
        <f t="shared" si="1582"/>
        <v>55</v>
      </c>
      <c r="B58">
        <v>8.6738987578515001</v>
      </c>
      <c r="D58">
        <f t="shared" si="1583"/>
        <v>55</v>
      </c>
      <c r="E58">
        <f t="shared" si="1574"/>
        <v>-3.6885246889444001e-02</v>
      </c>
      <c r="F58">
        <f t="shared" si="1585"/>
        <v>0.37860578676605899</v>
      </c>
      <c r="V58">
        <f t="shared" si="1575"/>
        <v>55</v>
      </c>
      <c r="W58">
        <f t="shared" si="1576"/>
        <v>-3.6885246889444001e-02</v>
      </c>
      <c r="X58">
        <f t="shared" si="1577"/>
        <v>0.37860578676605899</v>
      </c>
      <c r="Y58">
        <f t="shared" si="1578"/>
        <v>-0.41549103365550299</v>
      </c>
      <c r="Z58">
        <f t="shared" si="1566"/>
        <v>1.18147647624957</v>
      </c>
      <c r="AA58">
        <f t="shared" si="1579"/>
        <v>-2.7311422615433498</v>
      </c>
      <c r="AB58">
        <f t="shared" si="1580"/>
        <v>1.9001601942323501</v>
      </c>
      <c r="AD58">
        <f t="shared" si="1584"/>
        <v>55</v>
      </c>
      <c r="AE58">
        <f t="shared" si="1581"/>
        <v>8.6738987578515001</v>
      </c>
    </row>
    <row r="59">
      <c r="A59">
        <f t="shared" si="1582"/>
        <v>56</v>
      </c>
      <c r="B59">
        <v>8.7398621237592646</v>
      </c>
      <c r="D59">
        <f t="shared" si="1583"/>
        <v>56</v>
      </c>
      <c r="E59">
        <f t="shared" si="1574"/>
        <v>1.8245063442035701</v>
      </c>
      <c r="F59">
        <f t="shared" si="1585"/>
        <v>2.0832585858382799</v>
      </c>
      <c r="V59">
        <f t="shared" si="1575"/>
        <v>56</v>
      </c>
      <c r="W59">
        <f t="shared" si="1576"/>
        <v>1.8245063442035701</v>
      </c>
      <c r="X59">
        <f t="shared" si="1577"/>
        <v>2.0832585858382799</v>
      </c>
      <c r="Y59">
        <f t="shared" si="1578"/>
        <v>-0.25875224163471</v>
      </c>
      <c r="Z59">
        <f t="shared" si="1566"/>
        <v>1.18147647624957</v>
      </c>
      <c r="AA59">
        <f t="shared" si="1579"/>
        <v>-2.5744034695225602</v>
      </c>
      <c r="AB59">
        <f t="shared" si="1580"/>
        <v>2.0568989862531399</v>
      </c>
      <c r="AD59">
        <f t="shared" si="1584"/>
        <v>56</v>
      </c>
      <c r="AE59">
        <f t="shared" si="1581"/>
        <v>8.73986212375927</v>
      </c>
    </row>
    <row r="60">
      <c r="A60">
        <f t="shared" si="1582"/>
        <v>57</v>
      </c>
      <c r="B60">
        <v>8.7639760975280581</v>
      </c>
      <c r="D60">
        <f t="shared" si="1583"/>
        <v>57</v>
      </c>
      <c r="E60">
        <f t="shared" si="1574"/>
        <v>-3.6000399316124501</v>
      </c>
      <c r="F60">
        <f t="shared" si="1585"/>
        <v>-0.72420740713318998</v>
      </c>
      <c r="V60">
        <f t="shared" si="1575"/>
        <v>57</v>
      </c>
      <c r="W60">
        <f t="shared" si="1576"/>
        <v>-3.6000399316124501</v>
      </c>
      <c r="X60">
        <f t="shared" si="1577"/>
        <v>-0.72420740713318998</v>
      </c>
      <c r="Y60">
        <f t="shared" si="1578"/>
        <v>-2.87583252447926</v>
      </c>
      <c r="Z60">
        <f t="shared" si="1566"/>
        <v>1.18147647624957</v>
      </c>
      <c r="AA60">
        <f t="shared" si="1579"/>
        <v>-5.1914837523671098</v>
      </c>
      <c r="AB60">
        <f t="shared" si="1580"/>
        <v>-0.56018129659141003</v>
      </c>
      <c r="AD60">
        <f t="shared" si="1584"/>
        <v>57</v>
      </c>
      <c r="AE60">
        <f t="shared" si="1581"/>
        <v>8.7639760975280598</v>
      </c>
    </row>
    <row r="61">
      <c r="A61">
        <f t="shared" si="1582"/>
        <v>58</v>
      </c>
      <c r="B61">
        <v>10.607632270250908</v>
      </c>
      <c r="D61">
        <f t="shared" si="1583"/>
        <v>58</v>
      </c>
      <c r="E61">
        <f t="shared" si="1574"/>
        <v>1.11745815535562</v>
      </c>
      <c r="F61">
        <f t="shared" si="1585"/>
        <v>-1.1506314753605</v>
      </c>
      <c r="V61">
        <f t="shared" si="1575"/>
        <v>58</v>
      </c>
      <c r="W61">
        <f t="shared" si="1576"/>
        <v>1.11745815535562</v>
      </c>
      <c r="X61">
        <f t="shared" si="1577"/>
        <v>-1.1506314753605</v>
      </c>
      <c r="Y61">
        <f t="shared" si="1578"/>
        <v>2.26808963071612</v>
      </c>
      <c r="Z61">
        <f t="shared" si="1566"/>
        <v>1.18147647624957</v>
      </c>
      <c r="AA61">
        <f t="shared" si="1579"/>
        <v>-4.7561597171730002e-02</v>
      </c>
      <c r="AB61">
        <f t="shared" si="1580"/>
        <v>4.5837408586039698</v>
      </c>
      <c r="AD61">
        <f t="shared" si="1584"/>
        <v>58</v>
      </c>
      <c r="AE61">
        <f t="shared" si="1581"/>
        <v>10.6076322702509</v>
      </c>
    </row>
    <row r="62">
      <c r="A62">
        <f t="shared" si="1582"/>
        <v>59</v>
      </c>
      <c r="B62">
        <v>8.8462843661117905</v>
      </c>
      <c r="D62">
        <f t="shared" si="1583"/>
        <v>59</v>
      </c>
      <c r="E62">
        <f t="shared" si="1574"/>
        <v>2.1568553779970898</v>
      </c>
      <c r="F62">
        <f t="shared" si="1585"/>
        <v>1.13183925435606</v>
      </c>
      <c r="V62">
        <f t="shared" si="1575"/>
        <v>59</v>
      </c>
      <c r="W62">
        <f t="shared" si="1576"/>
        <v>2.1568553779970898</v>
      </c>
      <c r="X62">
        <f t="shared" si="1577"/>
        <v>1.13183925435606</v>
      </c>
      <c r="Y62">
        <f t="shared" si="1578"/>
        <v>1.02501612364103</v>
      </c>
      <c r="Z62">
        <f t="shared" si="1566"/>
        <v>1.18147647624957</v>
      </c>
      <c r="AA62">
        <f t="shared" si="1579"/>
        <v>-1.29063510424682</v>
      </c>
      <c r="AB62">
        <f t="shared" si="1580"/>
        <v>3.3406673515288801</v>
      </c>
      <c r="AD62">
        <f t="shared" si="1584"/>
        <v>59</v>
      </c>
      <c r="AE62">
        <f t="shared" si="1581"/>
        <v>8.8462843661117905</v>
      </c>
    </row>
    <row r="63">
      <c r="A63">
        <f t="shared" si="1582"/>
        <v>60</v>
      </c>
      <c r="B63">
        <v>8.197430472078814</v>
      </c>
      <c r="D63">
        <f t="shared" si="1583"/>
        <v>60</v>
      </c>
      <c r="E63">
        <f t="shared" si="1574"/>
        <v>-1.6997325412322499</v>
      </c>
      <c r="F63">
        <f t="shared" si="1585"/>
        <v>0.63635893096439</v>
      </c>
      <c r="V63">
        <f t="shared" si="1575"/>
        <v>60</v>
      </c>
      <c r="W63">
        <f t="shared" si="1576"/>
        <v>-1.6997325412322499</v>
      </c>
      <c r="X63">
        <f t="shared" si="1577"/>
        <v>0.63635893096439</v>
      </c>
      <c r="Y63">
        <f t="shared" si="1578"/>
        <v>-2.3360914721966402</v>
      </c>
      <c r="Z63">
        <f t="shared" si="1566"/>
        <v>1.18147647624957</v>
      </c>
      <c r="AA63">
        <f t="shared" si="1579"/>
        <v>-4.6517427000844904</v>
      </c>
      <c r="AB63">
        <f t="shared" si="1580"/>
        <v>-2.0440244308790004e-02</v>
      </c>
      <c r="AD63">
        <f t="shared" si="1584"/>
        <v>60</v>
      </c>
      <c r="AE63">
        <f t="shared" si="1581"/>
        <v>8.1974304720788194</v>
      </c>
    </row>
    <row r="64">
      <c r="A64">
        <f t="shared" si="1582"/>
        <v>61</v>
      </c>
      <c r="B64">
        <v>9.7004678107933984</v>
      </c>
      <c r="D64">
        <f t="shared" si="1583"/>
        <v>61</v>
      </c>
      <c r="E64">
        <f t="shared" si="1574"/>
        <v>0.40820080892898503</v>
      </c>
      <c r="F64">
        <f t="shared" si="1585"/>
        <v>0.43884148938681394</v>
      </c>
      <c r="V64">
        <f t="shared" si="1575"/>
        <v>61</v>
      </c>
      <c r="W64">
        <f t="shared" si="1576"/>
        <v>0.40820080892898503</v>
      </c>
      <c r="X64">
        <f t="shared" si="1577"/>
        <v>0.43884148938681394</v>
      </c>
      <c r="Y64">
        <f t="shared" si="1578"/>
        <v>-3.0640680457829e-02</v>
      </c>
      <c r="Z64">
        <f t="shared" si="1566"/>
        <v>1.18147647624957</v>
      </c>
      <c r="AA64">
        <f t="shared" si="1579"/>
        <v>-2.3462919083456799</v>
      </c>
      <c r="AB64">
        <f t="shared" si="1580"/>
        <v>2.2850105474300202</v>
      </c>
      <c r="AD64">
        <f t="shared" si="1584"/>
        <v>61</v>
      </c>
      <c r="AE64">
        <f t="shared" si="1581"/>
        <v>9.7004678107934001</v>
      </c>
    </row>
    <row r="65">
      <c r="A65">
        <f t="shared" si="1582"/>
        <v>62</v>
      </c>
      <c r="B65">
        <v>9.4988084630262417</v>
      </c>
      <c r="D65">
        <f t="shared" si="1583"/>
        <v>62</v>
      </c>
      <c r="E65">
        <f t="shared" si="1574"/>
        <v>-7.7370955663034993e-02</v>
      </c>
      <c r="F65">
        <f t="shared" si="1585"/>
        <v>0.28908162586287001</v>
      </c>
      <c r="V65">
        <f t="shared" si="1575"/>
        <v>62</v>
      </c>
      <c r="W65">
        <f t="shared" si="1576"/>
        <v>-7.7370955663034993e-02</v>
      </c>
      <c r="X65">
        <f t="shared" si="1577"/>
        <v>0.28908162586287001</v>
      </c>
      <c r="Y65">
        <f t="shared" si="1578"/>
        <v>-0.36645258152590499</v>
      </c>
      <c r="Z65">
        <f t="shared" si="1566"/>
        <v>1.18147647624957</v>
      </c>
      <c r="AA65">
        <f t="shared" si="1579"/>
        <v>-2.6821038094137601</v>
      </c>
      <c r="AB65">
        <f t="shared" si="1580"/>
        <v>1.9491986463619499</v>
      </c>
      <c r="AD65">
        <f t="shared" si="1584"/>
        <v>62</v>
      </c>
      <c r="AE65">
        <f t="shared" si="1581"/>
        <v>9.4988084630262399</v>
      </c>
    </row>
    <row r="66">
      <c r="A66">
        <f t="shared" si="1582"/>
        <v>63</v>
      </c>
      <c r="B66">
        <v>9.7003857789385926</v>
      </c>
      <c r="D66">
        <f t="shared" si="1583"/>
        <v>63</v>
      </c>
      <c r="E66">
        <f t="shared" si="1574"/>
        <v>2.42313952154589</v>
      </c>
      <c r="F66">
        <f t="shared" si="1585"/>
        <v>2.7122900541533101</v>
      </c>
      <c r="V66">
        <f t="shared" si="1575"/>
        <v>63</v>
      </c>
      <c r="W66">
        <f t="shared" si="1576"/>
        <v>2.42313952154589</v>
      </c>
      <c r="X66">
        <f t="shared" si="1577"/>
        <v>2.7122900541533101</v>
      </c>
      <c r="Y66">
        <f t="shared" si="1578"/>
        <v>-0.28915053260742002</v>
      </c>
      <c r="Z66">
        <f t="shared" si="1566"/>
        <v>1.18147647624957</v>
      </c>
      <c r="AA66">
        <f t="shared" si="1579"/>
        <v>-2.60480176049527</v>
      </c>
      <c r="AB66">
        <f t="shared" si="1580"/>
        <v>2.0265006952804301</v>
      </c>
      <c r="AD66">
        <f t="shared" si="1584"/>
        <v>63</v>
      </c>
      <c r="AE66">
        <f t="shared" si="1581"/>
        <v>9.7003857789385908</v>
      </c>
    </row>
    <row r="67">
      <c r="A67">
        <f t="shared" si="1582"/>
        <v>64</v>
      </c>
      <c r="B67">
        <v>9.8196279939384326</v>
      </c>
      <c r="D67">
        <f t="shared" si="1583"/>
        <v>64</v>
      </c>
      <c r="E67">
        <f t="shared" si="1574"/>
        <v>-3.9658946171804801</v>
      </c>
      <c r="F67">
        <f t="shared" si="1585"/>
        <v>-0.20133183610989</v>
      </c>
      <c r="V67">
        <f t="shared" si="1575"/>
        <v>64</v>
      </c>
      <c r="W67">
        <f t="shared" si="1576"/>
        <v>-3.9658946171804801</v>
      </c>
      <c r="X67">
        <f t="shared" si="1577"/>
        <v>-0.20133183610989</v>
      </c>
      <c r="Y67">
        <f t="shared" si="1578"/>
        <v>-3.7645627810705902</v>
      </c>
      <c r="Z67">
        <f t="shared" si="1566"/>
        <v>1.18147647624957</v>
      </c>
      <c r="AA67">
        <f t="shared" si="1579"/>
        <v>-6.08021400895844</v>
      </c>
      <c r="AB67">
        <f t="shared" si="1580"/>
        <v>-1.4489115531827399</v>
      </c>
      <c r="AD67">
        <f t="shared" si="1584"/>
        <v>64</v>
      </c>
      <c r="AE67">
        <f t="shared" si="1581"/>
        <v>9.8196279939384308</v>
      </c>
    </row>
    <row r="68">
      <c r="A68">
        <f t="shared" si="1582"/>
        <v>65</v>
      </c>
      <c r="B68">
        <v>12.357045585234705</v>
      </c>
      <c r="D68">
        <f t="shared" si="1583"/>
        <v>65</v>
      </c>
      <c r="E68">
        <f t="shared" si="1574"/>
        <v>0.21556674888879498</v>
      </c>
      <c r="F68">
        <f t="shared" si="1585"/>
        <v>-1.6674508569821</v>
      </c>
      <c r="V68">
        <f t="shared" si="1575"/>
        <v>65</v>
      </c>
      <c r="W68">
        <f t="shared" si="1576"/>
        <v>0.21556674888879498</v>
      </c>
      <c r="X68">
        <f t="shared" si="1577"/>
        <v>-1.6674508569821</v>
      </c>
      <c r="Y68">
        <f t="shared" si="1578"/>
        <v>1.8830176058709001</v>
      </c>
      <c r="Z68">
        <f t="shared" ref="Z68:Z106" si="1587">J$15</f>
        <v>1.18147647624957</v>
      </c>
      <c r="AA68">
        <f t="shared" si="1579"/>
        <v>-0.43263362201694999</v>
      </c>
      <c r="AB68">
        <f t="shared" si="1580"/>
        <v>4.1986688337587497</v>
      </c>
      <c r="AD68">
        <f t="shared" si="1584"/>
        <v>65</v>
      </c>
      <c r="AE68">
        <f t="shared" si="1581"/>
        <v>12.357045585234699</v>
      </c>
    </row>
    <row r="69">
      <c r="A69">
        <f t="shared" si="1582"/>
        <v>66</v>
      </c>
      <c r="B69">
        <v>10.923604414101041</v>
      </c>
      <c r="D69">
        <f t="shared" si="1583"/>
        <v>66</v>
      </c>
      <c r="E69">
        <f t="shared" si="1574"/>
        <v>1.8011979308513999</v>
      </c>
      <c r="F69">
        <f t="shared" si="1585"/>
        <v>-0.22601573381732001</v>
      </c>
      <c r="V69">
        <f t="shared" si="1575"/>
        <v>66</v>
      </c>
      <c r="W69">
        <f t="shared" si="1576"/>
        <v>1.8011979308513999</v>
      </c>
      <c r="X69">
        <f t="shared" si="1577"/>
        <v>-0.22601573381732001</v>
      </c>
      <c r="Y69">
        <f t="shared" si="1578"/>
        <v>2.0272136646687202</v>
      </c>
      <c r="Z69">
        <f t="shared" si="1587"/>
        <v>1.18147647624957</v>
      </c>
      <c r="AA69">
        <f t="shared" si="1579"/>
        <v>-0.28843756321913</v>
      </c>
      <c r="AB69">
        <f t="shared" si="1580"/>
        <v>4.3428648925565696</v>
      </c>
      <c r="AD69">
        <f t="shared" si="1584"/>
        <v>66</v>
      </c>
      <c r="AE69">
        <f t="shared" si="1581"/>
        <v>10.923604414101</v>
      </c>
    </row>
    <row r="70">
      <c r="A70">
        <f t="shared" si="1582"/>
        <v>67</v>
      </c>
      <c r="B70">
        <v>9.7007658466065791</v>
      </c>
      <c r="D70">
        <f t="shared" si="1583"/>
        <v>67</v>
      </c>
      <c r="E70">
        <f t="shared" si="1574"/>
        <v>-1.0865112640161301</v>
      </c>
      <c r="F70">
        <f t="shared" si="1585"/>
        <v>-0.33039497673144602</v>
      </c>
      <c r="V70">
        <f t="shared" si="1575"/>
        <v>67</v>
      </c>
      <c r="W70">
        <f t="shared" si="1576"/>
        <v>-1.0865112640161301</v>
      </c>
      <c r="X70">
        <f t="shared" si="1577"/>
        <v>-0.33039497673144602</v>
      </c>
      <c r="Y70">
        <f t="shared" si="1578"/>
        <v>-0.75611628728468405</v>
      </c>
      <c r="Z70">
        <f t="shared" si="1587"/>
        <v>1.18147647624957</v>
      </c>
      <c r="AA70">
        <f t="shared" si="1579"/>
        <v>-3.0717675151725299</v>
      </c>
      <c r="AB70">
        <f t="shared" si="1580"/>
        <v>1.55953494060317</v>
      </c>
      <c r="AD70">
        <f t="shared" si="1584"/>
        <v>67</v>
      </c>
      <c r="AE70">
        <f t="shared" si="1581"/>
        <v>9.7007658466065791</v>
      </c>
    </row>
    <row r="71">
      <c r="A71">
        <f t="shared" si="1582"/>
        <v>68</v>
      </c>
      <c r="B71">
        <v>10.274161064714082</v>
      </c>
      <c r="D71">
        <f t="shared" si="1583"/>
        <v>68</v>
      </c>
      <c r="E71">
        <f t="shared" si="1574"/>
        <v>5.4695304903194991e-02</v>
      </c>
      <c r="F71">
        <f t="shared" si="1585"/>
        <v>-0.54765522147448498</v>
      </c>
      <c r="V71">
        <f t="shared" si="1575"/>
        <v>68</v>
      </c>
      <c r="W71">
        <f t="shared" si="1576"/>
        <v>5.4695304903194991e-02</v>
      </c>
      <c r="X71">
        <f t="shared" si="1577"/>
        <v>-0.54765522147448498</v>
      </c>
      <c r="Y71">
        <f t="shared" si="1578"/>
        <v>0.60235052637768005</v>
      </c>
      <c r="Z71">
        <f t="shared" si="1587"/>
        <v>1.18147647624957</v>
      </c>
      <c r="AA71">
        <f t="shared" si="1579"/>
        <v>-1.71330070151017</v>
      </c>
      <c r="AB71">
        <f t="shared" si="1580"/>
        <v>2.9180017542655299</v>
      </c>
      <c r="AD71">
        <f t="shared" si="1584"/>
        <v>68</v>
      </c>
      <c r="AE71">
        <f t="shared" si="1581"/>
        <v>10.2741610647141</v>
      </c>
    </row>
    <row r="72">
      <c r="A72">
        <f t="shared" si="1582"/>
        <v>69</v>
      </c>
      <c r="B72">
        <v>9.7560808735559998</v>
      </c>
      <c r="D72">
        <f t="shared" si="1583"/>
        <v>69</v>
      </c>
      <c r="E72">
        <f t="shared" si="1574"/>
        <v>-1.9610968391924999e-02</v>
      </c>
      <c r="F72">
        <f t="shared" si="1585"/>
        <v>-0.66163588150823105</v>
      </c>
      <c r="V72">
        <f t="shared" si="1575"/>
        <v>69</v>
      </c>
      <c r="W72">
        <f t="shared" si="1576"/>
        <v>-1.9610968391924999e-02</v>
      </c>
      <c r="X72">
        <f t="shared" si="1577"/>
        <v>-0.66163588150823105</v>
      </c>
      <c r="Y72">
        <f t="shared" si="1578"/>
        <v>0.64202491311630605</v>
      </c>
      <c r="Z72">
        <f t="shared" si="1587"/>
        <v>1.18147647624957</v>
      </c>
      <c r="AA72">
        <f t="shared" si="1579"/>
        <v>-1.67362631477154</v>
      </c>
      <c r="AB72">
        <f t="shared" si="1580"/>
        <v>2.9576761410041601</v>
      </c>
      <c r="AD72">
        <f t="shared" si="1584"/>
        <v>69</v>
      </c>
      <c r="AE72">
        <f t="shared" si="1581"/>
        <v>9.7560808735559998</v>
      </c>
    </row>
    <row r="73">
      <c r="A73">
        <f t="shared" si="1582"/>
        <v>70</v>
      </c>
      <c r="B73">
        <v>9.2877318420515778</v>
      </c>
      <c r="D73">
        <f t="shared" si="1583"/>
        <v>70</v>
      </c>
      <c r="E73">
        <f t="shared" si="1574"/>
        <v>1.65524653874713</v>
      </c>
      <c r="F73">
        <f t="shared" si="1585"/>
        <v>1.0385914749826699</v>
      </c>
      <c r="V73">
        <f t="shared" si="1575"/>
        <v>70</v>
      </c>
      <c r="W73">
        <f t="shared" si="1576"/>
        <v>1.65524653874713</v>
      </c>
      <c r="X73">
        <f t="shared" si="1577"/>
        <v>1.0385914749826699</v>
      </c>
      <c r="Y73">
        <f t="shared" si="1578"/>
        <v>0.61665506376446</v>
      </c>
      <c r="Z73">
        <f t="shared" si="1587"/>
        <v>1.18147647624957</v>
      </c>
      <c r="AA73">
        <f t="shared" si="1579"/>
        <v>-1.6989961641233899</v>
      </c>
      <c r="AB73">
        <f t="shared" si="1580"/>
        <v>2.9323062916523099</v>
      </c>
      <c r="AD73">
        <f t="shared" si="1584"/>
        <v>70</v>
      </c>
      <c r="AE73">
        <f t="shared" si="1581"/>
        <v>9.2877318420515795</v>
      </c>
    </row>
    <row r="74">
      <c r="A74">
        <f t="shared" si="1582"/>
        <v>71</v>
      </c>
      <c r="B74">
        <v>8.7948076969057745</v>
      </c>
      <c r="D74">
        <f t="shared" si="1583"/>
        <v>71</v>
      </c>
      <c r="E74">
        <f t="shared" ref="E74:E97" si="1588">B76-2*B75+B74-J$6</f>
        <v>-1.95804225507653</v>
      </c>
      <c r="F74">
        <f t="shared" si="1585"/>
        <v>-0.13784655075989599</v>
      </c>
      <c r="V74">
        <f t="shared" ref="V74:V99" si="1589">D74</f>
        <v>71</v>
      </c>
      <c r="W74">
        <f t="shared" ref="W74:W99" si="1590">E74</f>
        <v>-1.95804225507653</v>
      </c>
      <c r="X74">
        <f t="shared" ref="X74:X99" si="1591">F74</f>
        <v>-0.13784655075989599</v>
      </c>
      <c r="Y74">
        <f t="shared" ref="Y74:Y99" si="1592">W74-X74</f>
        <v>-1.8201957043166299</v>
      </c>
      <c r="Z74">
        <f t="shared" si="1587"/>
        <v>1.18147647624957</v>
      </c>
      <c r="AA74">
        <f t="shared" ref="AA74:AA99" si="1593">Y74-NORMSINV(1-Z$2/2)*Z74</f>
        <v>-4.1358469322044797</v>
      </c>
      <c r="AB74">
        <f t="shared" ref="AB74:AB99" si="1594">Y74+NORMSINV(1-Z$2/2)*Z74</f>
        <v>0.49545552357122002</v>
      </c>
      <c r="AD74">
        <f t="shared" si="1584"/>
        <v>71</v>
      </c>
      <c r="AE74">
        <f t="shared" ref="AE74:AE99" si="1595">B74</f>
        <v>8.7948076969057798</v>
      </c>
    </row>
    <row r="75">
      <c r="A75">
        <f t="shared" ref="A75:A100" si="1596">A74+1</f>
        <v>72</v>
      </c>
      <c r="B75">
        <v>9.9521659452576507</v>
      </c>
      <c r="D75">
        <f t="shared" ref="D75:D100" si="1597">D74+1</f>
        <v>72</v>
      </c>
      <c r="E75">
        <f t="shared" si="1588"/>
        <v>7.6167326749527003e-02</v>
      </c>
      <c r="F75">
        <f t="shared" si="1585"/>
        <v>-0.82095795269184202</v>
      </c>
      <c r="V75">
        <f t="shared" si="1589"/>
        <v>72</v>
      </c>
      <c r="W75">
        <f t="shared" si="1590"/>
        <v>7.6167326749527003e-02</v>
      </c>
      <c r="X75">
        <f t="shared" si="1591"/>
        <v>-0.82095795269184202</v>
      </c>
      <c r="Y75">
        <f t="shared" si="1592"/>
        <v>0.89712527944136899</v>
      </c>
      <c r="Z75">
        <f t="shared" si="1587"/>
        <v>1.18147647624957</v>
      </c>
      <c r="AA75">
        <f t="shared" si="1593"/>
        <v>-1.4185259484464801</v>
      </c>
      <c r="AB75">
        <f t="shared" si="1594"/>
        <v>3.2127765073292198</v>
      </c>
      <c r="AD75">
        <f t="shared" ref="AD75:AD100" si="1598">AD74+1</f>
        <v>72</v>
      </c>
      <c r="AE75">
        <f t="shared" si="1595"/>
        <v>9.9521659452576507</v>
      </c>
    </row>
    <row r="76">
      <c r="A76">
        <f t="shared" si="1596"/>
        <v>73</v>
      </c>
      <c r="B76">
        <v>9.1465177932835449</v>
      </c>
      <c r="D76">
        <f t="shared" si="1597"/>
        <v>73</v>
      </c>
      <c r="E76">
        <f t="shared" si="1588"/>
        <v>2.0511836335388001</v>
      </c>
      <c r="F76">
        <f t="shared" ref="F76:F99" si="1599">E76-SUMPRODUCT(E74:E75,I$4:I$5)-SUMPRODUCT(F75,J$5)</f>
        <v>1.0367479915556901</v>
      </c>
      <c r="V76">
        <f t="shared" si="1589"/>
        <v>73</v>
      </c>
      <c r="W76">
        <f t="shared" si="1590"/>
        <v>2.0511836335388001</v>
      </c>
      <c r="X76">
        <f t="shared" si="1591"/>
        <v>1.0367479915556901</v>
      </c>
      <c r="Y76">
        <f t="shared" si="1592"/>
        <v>1.01443564198311</v>
      </c>
      <c r="Z76">
        <f t="shared" si="1587"/>
        <v>1.18147647624957</v>
      </c>
      <c r="AA76">
        <f t="shared" si="1593"/>
        <v>-1.3012155859047401</v>
      </c>
      <c r="AB76">
        <f t="shared" si="1594"/>
        <v>3.3300868698709598</v>
      </c>
      <c r="AD76">
        <f t="shared" si="1598"/>
        <v>73</v>
      </c>
      <c r="AE76">
        <f t="shared" si="1595"/>
        <v>9.1465177932835502</v>
      </c>
    </row>
    <row r="77">
      <c r="A77">
        <f t="shared" si="1596"/>
        <v>74</v>
      </c>
      <c r="B77">
        <v>8.4120728228094741</v>
      </c>
      <c r="D77">
        <f t="shared" si="1597"/>
        <v>74</v>
      </c>
      <c r="E77">
        <f t="shared" si="1588"/>
        <v>-2.5818689598299298</v>
      </c>
      <c r="F77">
        <f t="shared" si="1599"/>
        <v>-0.54382530125801198</v>
      </c>
      <c r="V77">
        <f t="shared" si="1589"/>
        <v>74</v>
      </c>
      <c r="W77">
        <f t="shared" si="1590"/>
        <v>-2.5818689598299298</v>
      </c>
      <c r="X77">
        <f t="shared" si="1591"/>
        <v>-0.54382530125801198</v>
      </c>
      <c r="Y77">
        <f t="shared" si="1592"/>
        <v>-2.0380436585719202</v>
      </c>
      <c r="Z77">
        <f t="shared" si="1587"/>
        <v>1.18147647624957</v>
      </c>
      <c r="AA77">
        <f t="shared" si="1593"/>
        <v>-4.3536948864597704</v>
      </c>
      <c r="AB77">
        <f t="shared" si="1594"/>
        <v>0.27760756931593</v>
      </c>
      <c r="AD77">
        <f t="shared" si="1598"/>
        <v>74</v>
      </c>
      <c r="AE77">
        <f t="shared" si="1595"/>
        <v>8.4120728228094794</v>
      </c>
    </row>
    <row r="78">
      <c r="A78">
        <f t="shared" si="1596"/>
        <v>75</v>
      </c>
      <c r="B78">
        <v>9.7238473406247508</v>
      </c>
      <c r="D78">
        <f t="shared" si="1597"/>
        <v>75</v>
      </c>
      <c r="E78">
        <f t="shared" si="1588"/>
        <v>2.1404036071389498</v>
      </c>
      <c r="F78">
        <f t="shared" si="1599"/>
        <v>0.60156994030171895</v>
      </c>
      <c r="V78">
        <f t="shared" si="1589"/>
        <v>75</v>
      </c>
      <c r="W78">
        <f t="shared" si="1590"/>
        <v>2.1404036071389498</v>
      </c>
      <c r="X78">
        <f t="shared" si="1591"/>
        <v>0.60156994030171895</v>
      </c>
      <c r="Y78">
        <f t="shared" si="1592"/>
        <v>1.53883366683723</v>
      </c>
      <c r="Z78">
        <f t="shared" si="1587"/>
        <v>1.18147647624957</v>
      </c>
      <c r="AA78">
        <f t="shared" si="1593"/>
        <v>-0.77681756105062005</v>
      </c>
      <c r="AB78">
        <f t="shared" si="1594"/>
        <v>3.85448489472508</v>
      </c>
      <c r="AD78">
        <f t="shared" si="1598"/>
        <v>75</v>
      </c>
      <c r="AE78">
        <f t="shared" si="1595"/>
        <v>9.7238473406247508</v>
      </c>
    </row>
    <row r="79">
      <c r="A79">
        <f t="shared" si="1596"/>
        <v>76</v>
      </c>
      <c r="B79">
        <v>8.4487887533605956</v>
      </c>
      <c r="D79">
        <f t="shared" si="1597"/>
        <v>76</v>
      </c>
      <c r="E79">
        <f t="shared" si="1588"/>
        <v>-0.53549128512932498</v>
      </c>
      <c r="F79">
        <f t="shared" si="1599"/>
        <v>0.74911190017931995</v>
      </c>
      <c r="V79">
        <f t="shared" si="1589"/>
        <v>76</v>
      </c>
      <c r="W79">
        <f t="shared" si="1590"/>
        <v>-0.53549128512932498</v>
      </c>
      <c r="X79">
        <f t="shared" si="1591"/>
        <v>0.74911190017931995</v>
      </c>
      <c r="Y79">
        <f t="shared" si="1592"/>
        <v>-1.2846031853086499</v>
      </c>
      <c r="Z79">
        <f t="shared" si="1587"/>
        <v>1.18147647624957</v>
      </c>
      <c r="AA79">
        <f t="shared" si="1593"/>
        <v>-3.6002544131965002</v>
      </c>
      <c r="AB79">
        <f t="shared" si="1594"/>
        <v>1.0310480425791999</v>
      </c>
      <c r="AD79">
        <f t="shared" si="1598"/>
        <v>76</v>
      </c>
      <c r="AE79">
        <f t="shared" si="1595"/>
        <v>8.4487887533605992</v>
      </c>
    </row>
    <row r="80">
      <c r="A80">
        <f t="shared" si="1596"/>
        <v>77</v>
      </c>
      <c r="B80">
        <v>9.3091696279858969</v>
      </c>
      <c r="D80">
        <f t="shared" si="1597"/>
        <v>77</v>
      </c>
      <c r="E80">
        <f t="shared" si="1588"/>
        <v>0.55469797089219597</v>
      </c>
      <c r="F80">
        <f t="shared" si="1599"/>
        <v>1.2913433848923901</v>
      </c>
      <c r="V80">
        <f t="shared" si="1589"/>
        <v>77</v>
      </c>
      <c r="W80">
        <f t="shared" si="1590"/>
        <v>0.55469797089219597</v>
      </c>
      <c r="X80">
        <f t="shared" si="1591"/>
        <v>1.2913433848923901</v>
      </c>
      <c r="Y80">
        <f t="shared" si="1592"/>
        <v>-0.73664541400019401</v>
      </c>
      <c r="Z80">
        <f t="shared" si="1587"/>
        <v>1.18147647624957</v>
      </c>
      <c r="AA80">
        <f t="shared" si="1593"/>
        <v>-3.0522966418880402</v>
      </c>
      <c r="AB80">
        <f t="shared" si="1594"/>
        <v>1.5790058138876599</v>
      </c>
      <c r="AD80">
        <f t="shared" si="1598"/>
        <v>77</v>
      </c>
      <c r="AE80">
        <f t="shared" si="1595"/>
        <v>9.3091696279859004</v>
      </c>
    </row>
    <row r="81">
      <c r="A81">
        <f t="shared" si="1596"/>
        <v>78</v>
      </c>
      <c r="B81">
        <v>9.6290950722323778</v>
      </c>
      <c r="D81">
        <f t="shared" si="1597"/>
        <v>78</v>
      </c>
      <c r="E81">
        <f t="shared" si="1588"/>
        <v>-3.2288934321355298</v>
      </c>
      <c r="F81">
        <f t="shared" si="1599"/>
        <v>-1.8213386849253701</v>
      </c>
      <c r="V81">
        <f t="shared" si="1589"/>
        <v>78</v>
      </c>
      <c r="W81">
        <f t="shared" si="1590"/>
        <v>-3.2288934321355298</v>
      </c>
      <c r="X81">
        <f t="shared" si="1591"/>
        <v>-1.8213386849253701</v>
      </c>
      <c r="Y81">
        <f t="shared" si="1592"/>
        <v>-1.4075547472101599</v>
      </c>
      <c r="Z81">
        <f t="shared" si="1587"/>
        <v>1.18147647624957</v>
      </c>
      <c r="AA81">
        <f t="shared" si="1593"/>
        <v>-3.72320597509801</v>
      </c>
      <c r="AB81">
        <f t="shared" si="1594"/>
        <v>0.90809648067768989</v>
      </c>
      <c r="AD81">
        <f t="shared" si="1598"/>
        <v>78</v>
      </c>
      <c r="AE81">
        <f t="shared" si="1595"/>
        <v>9.6290950722323796</v>
      </c>
    </row>
    <row r="82">
      <c r="A82">
        <f t="shared" si="1596"/>
        <v>79</v>
      </c>
      <c r="B82">
        <v>10.498754342121549</v>
      </c>
      <c r="D82">
        <f t="shared" si="1597"/>
        <v>79</v>
      </c>
      <c r="E82">
        <f t="shared" si="1588"/>
        <v>3.3897899804828402</v>
      </c>
      <c r="F82">
        <f t="shared" si="1599"/>
        <v>0.10606662869957999</v>
      </c>
      <c r="V82">
        <f t="shared" si="1589"/>
        <v>79</v>
      </c>
      <c r="W82">
        <f t="shared" si="1590"/>
        <v>3.3897899804828402</v>
      </c>
      <c r="X82">
        <f t="shared" si="1591"/>
        <v>0.10606662869957999</v>
      </c>
      <c r="Y82">
        <f t="shared" si="1592"/>
        <v>3.28372335178326</v>
      </c>
      <c r="Z82">
        <f t="shared" si="1587"/>
        <v>1.18147647624957</v>
      </c>
      <c r="AA82">
        <f t="shared" si="1593"/>
        <v>0.96807212389540997</v>
      </c>
      <c r="AB82">
        <f t="shared" si="1594"/>
        <v>5.5993745796711103</v>
      </c>
      <c r="AD82">
        <f t="shared" si="1598"/>
        <v>79</v>
      </c>
      <c r="AE82">
        <f t="shared" si="1595"/>
        <v>10.4987543421216</v>
      </c>
    </row>
    <row r="83">
      <c r="A83">
        <f t="shared" si="1596"/>
        <v>80</v>
      </c>
      <c r="B83">
        <v>8.1345560346257617</v>
      </c>
      <c r="D83">
        <f t="shared" si="1597"/>
        <v>80</v>
      </c>
      <c r="E83">
        <f t="shared" si="1588"/>
        <v>-2.1787615047774498</v>
      </c>
      <c r="F83">
        <f t="shared" si="1599"/>
        <v>-0.80285180927312305</v>
      </c>
      <c r="V83">
        <f t="shared" si="1589"/>
        <v>80</v>
      </c>
      <c r="W83">
        <f t="shared" si="1590"/>
        <v>-2.1787615047774498</v>
      </c>
      <c r="X83">
        <f t="shared" si="1591"/>
        <v>-0.80285180927312305</v>
      </c>
      <c r="Y83">
        <f t="shared" si="1592"/>
        <v>-1.37590969550433</v>
      </c>
      <c r="Z83">
        <f t="shared" si="1587"/>
        <v>1.18147647624957</v>
      </c>
      <c r="AA83">
        <f t="shared" si="1593"/>
        <v>-3.69156092339218</v>
      </c>
      <c r="AB83">
        <f t="shared" si="1594"/>
        <v>0.93974153238351987</v>
      </c>
      <c r="AD83">
        <f t="shared" si="1598"/>
        <v>80</v>
      </c>
      <c r="AE83">
        <f t="shared" si="1595"/>
        <v>8.1345560346257599</v>
      </c>
    </row>
    <row r="84">
      <c r="A84">
        <f t="shared" si="1596"/>
        <v>81</v>
      </c>
      <c r="B84">
        <v>9.155183562363236</v>
      </c>
      <c r="D84">
        <f t="shared" si="1597"/>
        <v>81</v>
      </c>
      <c r="E84">
        <f t="shared" si="1588"/>
        <v>3.6155038241344402</v>
      </c>
      <c r="F84">
        <f t="shared" si="1599"/>
        <v>2.24422885645911</v>
      </c>
      <c r="V84">
        <f t="shared" si="1589"/>
        <v>81</v>
      </c>
      <c r="W84">
        <f t="shared" si="1590"/>
        <v>3.6155038241344402</v>
      </c>
      <c r="X84">
        <f t="shared" si="1591"/>
        <v>2.24422885645911</v>
      </c>
      <c r="Y84">
        <f t="shared" si="1592"/>
        <v>1.37127496767533</v>
      </c>
      <c r="Z84">
        <f t="shared" si="1587"/>
        <v>1.18147647624957</v>
      </c>
      <c r="AA84">
        <f t="shared" si="1593"/>
        <v>-0.94437626021251986</v>
      </c>
      <c r="AB84">
        <f t="shared" si="1594"/>
        <v>3.68692619556318</v>
      </c>
      <c r="AD84">
        <f t="shared" si="1598"/>
        <v>81</v>
      </c>
      <c r="AE84">
        <f t="shared" si="1595"/>
        <v>9.1551835623632396</v>
      </c>
    </row>
    <row r="85">
      <c r="A85">
        <f t="shared" si="1596"/>
        <v>82</v>
      </c>
      <c r="B85">
        <v>7.9920854400738497</v>
      </c>
      <c r="D85">
        <f t="shared" si="1597"/>
        <v>82</v>
      </c>
      <c r="E85">
        <f t="shared" si="1588"/>
        <v>-1.70675167959356</v>
      </c>
      <c r="F85">
        <f t="shared" si="1599"/>
        <v>1.9286684022623</v>
      </c>
      <c r="V85">
        <f t="shared" si="1589"/>
        <v>82</v>
      </c>
      <c r="W85">
        <f t="shared" si="1590"/>
        <v>-1.70675167959356</v>
      </c>
      <c r="X85">
        <f t="shared" si="1591"/>
        <v>1.9286684022623</v>
      </c>
      <c r="Y85">
        <f t="shared" si="1592"/>
        <v>-3.6354200818558602</v>
      </c>
      <c r="Z85">
        <f t="shared" si="1587"/>
        <v>1.18147647624957</v>
      </c>
      <c r="AA85">
        <f t="shared" si="1593"/>
        <v>-5.9510713097437096</v>
      </c>
      <c r="AB85">
        <f t="shared" si="1594"/>
        <v>-1.3197688539680099</v>
      </c>
      <c r="AD85">
        <f t="shared" si="1598"/>
        <v>82</v>
      </c>
      <c r="AE85">
        <f t="shared" si="1595"/>
        <v>7.9920854400738497</v>
      </c>
    </row>
    <row r="86">
      <c r="A86">
        <f t="shared" si="1596"/>
        <v>83</v>
      </c>
      <c r="B86">
        <v>10.439526996669359</v>
      </c>
      <c r="D86">
        <f t="shared" si="1597"/>
        <v>83</v>
      </c>
      <c r="E86">
        <f t="shared" si="1588"/>
        <v>-1.9845108258614099</v>
      </c>
      <c r="F86">
        <f t="shared" si="1599"/>
        <v>-0.54001574254194995</v>
      </c>
      <c r="V86">
        <f t="shared" si="1589"/>
        <v>83</v>
      </c>
      <c r="W86">
        <f t="shared" si="1590"/>
        <v>-1.9845108258614099</v>
      </c>
      <c r="X86">
        <f t="shared" si="1591"/>
        <v>-0.54001574254194995</v>
      </c>
      <c r="Y86">
        <f t="shared" si="1592"/>
        <v>-1.4444950833194601</v>
      </c>
      <c r="Z86">
        <f t="shared" si="1587"/>
        <v>1.18147647624957</v>
      </c>
      <c r="AA86">
        <f t="shared" si="1593"/>
        <v>-3.7601463112073099</v>
      </c>
      <c r="AB86">
        <f t="shared" si="1594"/>
        <v>0.87115614456838997</v>
      </c>
      <c r="AD86">
        <f t="shared" si="1598"/>
        <v>83</v>
      </c>
      <c r="AE86">
        <f t="shared" si="1595"/>
        <v>10.4395269966694</v>
      </c>
    </row>
    <row r="87">
      <c r="A87">
        <f t="shared" si="1596"/>
        <v>84</v>
      </c>
      <c r="B87">
        <v>11.175252728421924</v>
      </c>
      <c r="D87">
        <f t="shared" si="1597"/>
        <v>84</v>
      </c>
      <c r="E87">
        <f t="shared" si="1588"/>
        <v>1.9902287594696</v>
      </c>
      <c r="F87">
        <f t="shared" si="1599"/>
        <v>0.20560498904038299</v>
      </c>
      <c r="V87">
        <f t="shared" si="1589"/>
        <v>84</v>
      </c>
      <c r="W87">
        <f t="shared" si="1590"/>
        <v>1.9902287594696</v>
      </c>
      <c r="X87">
        <f t="shared" si="1591"/>
        <v>0.20560498904038299</v>
      </c>
      <c r="Y87">
        <f t="shared" si="1592"/>
        <v>1.78462377042922</v>
      </c>
      <c r="Z87">
        <f t="shared" si="1587"/>
        <v>1.18147647624957</v>
      </c>
      <c r="AA87">
        <f t="shared" si="1593"/>
        <v>-0.53102745745863</v>
      </c>
      <c r="AB87">
        <f t="shared" si="1594"/>
        <v>4.1002749983170697</v>
      </c>
      <c r="AD87">
        <f t="shared" si="1598"/>
        <v>84</v>
      </c>
      <c r="AE87">
        <f t="shared" si="1595"/>
        <v>11.175252728421899</v>
      </c>
    </row>
    <row r="88">
      <c r="A88">
        <f t="shared" si="1596"/>
        <v>85</v>
      </c>
      <c r="B88">
        <v>9.9215034890634719</v>
      </c>
      <c r="D88">
        <f t="shared" si="1597"/>
        <v>85</v>
      </c>
      <c r="E88">
        <f t="shared" si="1588"/>
        <v>-1.0786050575775401</v>
      </c>
      <c r="F88">
        <f t="shared" si="1599"/>
        <v>-0.15083200023302901</v>
      </c>
      <c r="V88">
        <f t="shared" si="1589"/>
        <v>85</v>
      </c>
      <c r="W88">
        <f t="shared" si="1590"/>
        <v>-1.0786050575775401</v>
      </c>
      <c r="X88">
        <f t="shared" si="1591"/>
        <v>-0.15083200023302901</v>
      </c>
      <c r="Y88">
        <f t="shared" si="1592"/>
        <v>-0.92777305734451099</v>
      </c>
      <c r="Z88">
        <f t="shared" si="1587"/>
        <v>1.18147647624957</v>
      </c>
      <c r="AA88">
        <f t="shared" si="1593"/>
        <v>-3.24342428523236</v>
      </c>
      <c r="AB88">
        <f t="shared" si="1594"/>
        <v>1.3878781705433401</v>
      </c>
      <c r="AD88">
        <f t="shared" si="1598"/>
        <v>85</v>
      </c>
      <c r="AE88">
        <f t="shared" si="1595"/>
        <v>9.9215034890634701</v>
      </c>
    </row>
    <row r="89">
      <c r="A89">
        <f t="shared" si="1596"/>
        <v>86</v>
      </c>
      <c r="B89">
        <v>10.653018863925139</v>
      </c>
      <c r="D89">
        <f t="shared" si="1597"/>
        <v>86</v>
      </c>
      <c r="E89">
        <f t="shared" si="1588"/>
        <v>-0.62123542070440496</v>
      </c>
      <c r="F89">
        <f t="shared" si="1599"/>
        <v>-1.0245591297246099</v>
      </c>
      <c r="V89">
        <f t="shared" si="1589"/>
        <v>86</v>
      </c>
      <c r="W89">
        <f t="shared" si="1590"/>
        <v>-0.62123542070440496</v>
      </c>
      <c r="X89">
        <f t="shared" si="1591"/>
        <v>-1.0245591297246099</v>
      </c>
      <c r="Y89">
        <f t="shared" si="1592"/>
        <v>0.40332370902020498</v>
      </c>
      <c r="Z89">
        <f t="shared" si="1587"/>
        <v>1.18147647624957</v>
      </c>
      <c r="AA89">
        <f t="shared" si="1593"/>
        <v>-1.9123275188676501</v>
      </c>
      <c r="AB89">
        <f t="shared" si="1594"/>
        <v>2.7189749369080598</v>
      </c>
      <c r="AD89">
        <f t="shared" si="1598"/>
        <v>86</v>
      </c>
      <c r="AE89">
        <f t="shared" si="1595"/>
        <v>10.6530188639251</v>
      </c>
    </row>
    <row r="90">
      <c r="A90">
        <f t="shared" si="1596"/>
        <v>87</v>
      </c>
      <c r="B90">
        <v>10.300965035959743</v>
      </c>
      <c r="D90">
        <f t="shared" si="1597"/>
        <v>87</v>
      </c>
      <c r="E90">
        <f t="shared" si="1588"/>
        <v>2.8690027951102999</v>
      </c>
      <c r="F90">
        <f t="shared" si="1599"/>
        <v>1.43463648804164</v>
      </c>
      <c r="V90">
        <f t="shared" si="1589"/>
        <v>87</v>
      </c>
      <c r="W90">
        <f t="shared" si="1590"/>
        <v>2.8690027951102999</v>
      </c>
      <c r="X90">
        <f t="shared" si="1591"/>
        <v>1.43463648804164</v>
      </c>
      <c r="Y90">
        <f t="shared" si="1592"/>
        <v>1.4343663070686601</v>
      </c>
      <c r="Z90">
        <f t="shared" si="1587"/>
        <v>1.18147647624957</v>
      </c>
      <c r="AA90">
        <f t="shared" si="1593"/>
        <v>-0.88128492081918997</v>
      </c>
      <c r="AB90">
        <f t="shared" si="1594"/>
        <v>3.7500175349565099</v>
      </c>
      <c r="AD90">
        <f t="shared" si="1598"/>
        <v>87</v>
      </c>
      <c r="AE90">
        <f t="shared" si="1595"/>
        <v>10.300965035959701</v>
      </c>
    </row>
    <row r="91">
      <c r="A91">
        <f t="shared" si="1596"/>
        <v>88</v>
      </c>
      <c r="B91">
        <v>9.322711642040451</v>
      </c>
      <c r="D91">
        <f t="shared" si="1597"/>
        <v>88</v>
      </c>
      <c r="E91">
        <f t="shared" si="1588"/>
        <v>-3.2556057574589601</v>
      </c>
      <c r="F91">
        <f t="shared" si="1599"/>
        <v>-0.52762583461974</v>
      </c>
      <c r="V91">
        <f t="shared" si="1589"/>
        <v>88</v>
      </c>
      <c r="W91">
        <f t="shared" si="1590"/>
        <v>-3.2556057574589601</v>
      </c>
      <c r="X91">
        <f t="shared" si="1591"/>
        <v>-0.52762583461974</v>
      </c>
      <c r="Y91">
        <f t="shared" si="1592"/>
        <v>-2.7279799228392201</v>
      </c>
      <c r="Z91">
        <f t="shared" si="1587"/>
        <v>1.18147647624957</v>
      </c>
      <c r="AA91">
        <f t="shared" si="1593"/>
        <v>-5.0436311507270704</v>
      </c>
      <c r="AB91">
        <f t="shared" si="1594"/>
        <v>-0.41232869495136998</v>
      </c>
      <c r="AD91">
        <f t="shared" si="1598"/>
        <v>88</v>
      </c>
      <c r="AE91">
        <f t="shared" si="1595"/>
        <v>9.3227116420404492</v>
      </c>
    </row>
    <row r="92">
      <c r="A92">
        <f t="shared" si="1596"/>
        <v>89</v>
      </c>
      <c r="B92">
        <v>11.208496897982</v>
      </c>
      <c r="D92">
        <f t="shared" si="1597"/>
        <v>89</v>
      </c>
      <c r="E92">
        <f t="shared" si="1588"/>
        <v>2.5552654451685002</v>
      </c>
      <c r="F92">
        <f t="shared" si="1599"/>
        <v>0.80378841239597398</v>
      </c>
      <c r="V92">
        <f t="shared" si="1589"/>
        <v>89</v>
      </c>
      <c r="W92">
        <f t="shared" si="1590"/>
        <v>2.5552654451685002</v>
      </c>
      <c r="X92">
        <f t="shared" si="1591"/>
        <v>0.80378841239597398</v>
      </c>
      <c r="Y92">
        <f t="shared" si="1592"/>
        <v>1.75147703277253</v>
      </c>
      <c r="Z92">
        <f t="shared" si="1587"/>
        <v>1.18147647624957</v>
      </c>
      <c r="AA92">
        <f t="shared" si="1593"/>
        <v>-0.56417419511531997</v>
      </c>
      <c r="AB92">
        <f t="shared" si="1594"/>
        <v>4.0671282606603798</v>
      </c>
      <c r="AD92">
        <f t="shared" si="1598"/>
        <v>89</v>
      </c>
      <c r="AE92">
        <f t="shared" si="1595"/>
        <v>11.208496897982</v>
      </c>
    </row>
    <row r="93">
      <c r="A93">
        <f t="shared" si="1596"/>
        <v>90</v>
      </c>
      <c r="B93">
        <v>9.8337122512150561</v>
      </c>
      <c r="D93">
        <f t="shared" si="1597"/>
        <v>90</v>
      </c>
      <c r="E93">
        <f t="shared" si="1588"/>
        <v>-2.5075697480104502</v>
      </c>
      <c r="F93">
        <f t="shared" si="1599"/>
        <v>-0.92022740555230698</v>
      </c>
      <c r="V93">
        <f t="shared" si="1589"/>
        <v>90</v>
      </c>
      <c r="W93">
        <f t="shared" si="1590"/>
        <v>-2.5075697480104502</v>
      </c>
      <c r="X93">
        <f t="shared" si="1591"/>
        <v>-0.92022740555230698</v>
      </c>
      <c r="Y93">
        <f t="shared" si="1592"/>
        <v>-1.5873423424581401</v>
      </c>
      <c r="Z93">
        <f t="shared" si="1587"/>
        <v>1.18147647624957</v>
      </c>
      <c r="AA93">
        <f t="shared" si="1593"/>
        <v>-3.9029935703459899</v>
      </c>
      <c r="AB93">
        <f t="shared" si="1594"/>
        <v>0.72830888542970995</v>
      </c>
      <c r="AD93">
        <f t="shared" si="1598"/>
        <v>90</v>
      </c>
      <c r="AE93">
        <f t="shared" si="1595"/>
        <v>9.8337122512150597</v>
      </c>
    </row>
    <row r="94">
      <c r="A94">
        <f t="shared" si="1596"/>
        <v>91</v>
      </c>
      <c r="B94">
        <v>11.009228904367124</v>
      </c>
      <c r="D94">
        <f t="shared" si="1597"/>
        <v>91</v>
      </c>
      <c r="E94">
        <f t="shared" si="1588"/>
        <v>-0.30817511347540399</v>
      </c>
      <c r="F94">
        <f t="shared" si="1599"/>
        <v>-2.08314344417429</v>
      </c>
      <c r="V94">
        <f t="shared" si="1589"/>
        <v>91</v>
      </c>
      <c r="W94">
        <f t="shared" si="1590"/>
        <v>-0.30817511347540399</v>
      </c>
      <c r="X94">
        <f t="shared" si="1591"/>
        <v>-2.08314344417429</v>
      </c>
      <c r="Y94">
        <f t="shared" si="1592"/>
        <v>1.7749683306988899</v>
      </c>
      <c r="Z94">
        <f t="shared" si="1587"/>
        <v>1.18147647624957</v>
      </c>
      <c r="AA94">
        <f t="shared" si="1593"/>
        <v>-0.54068289718896001</v>
      </c>
      <c r="AB94">
        <f t="shared" si="1594"/>
        <v>4.0906195585867398</v>
      </c>
      <c r="AD94">
        <f t="shared" si="1598"/>
        <v>91</v>
      </c>
      <c r="AE94">
        <f t="shared" si="1595"/>
        <v>11.009228904367101</v>
      </c>
    </row>
    <row r="95">
      <c r="A95">
        <f t="shared" si="1596"/>
        <v>92</v>
      </c>
      <c r="B95">
        <v>9.672211664259164</v>
      </c>
      <c r="D95">
        <f t="shared" si="1597"/>
        <v>92</v>
      </c>
      <c r="E95">
        <f t="shared" si="1588"/>
        <v>2.7332259653644502</v>
      </c>
      <c r="F95">
        <f t="shared" si="1599"/>
        <v>0.26523521403094003</v>
      </c>
      <c r="V95">
        <f t="shared" si="1589"/>
        <v>92</v>
      </c>
      <c r="W95">
        <f t="shared" si="1590"/>
        <v>2.7332259653644502</v>
      </c>
      <c r="X95">
        <f t="shared" si="1591"/>
        <v>0.26523521403094003</v>
      </c>
      <c r="Y95">
        <f t="shared" si="1592"/>
        <v>2.46799075133351</v>
      </c>
      <c r="Z95">
        <f t="shared" si="1587"/>
        <v>1.18147647624957</v>
      </c>
      <c r="AA95">
        <f t="shared" si="1593"/>
        <v>0.15233952344566001</v>
      </c>
      <c r="AB95">
        <f t="shared" si="1594"/>
        <v>4.7836419792213603</v>
      </c>
      <c r="AD95">
        <f t="shared" si="1598"/>
        <v>92</v>
      </c>
      <c r="AE95">
        <f t="shared" si="1595"/>
        <v>9.6722116642591693</v>
      </c>
    </row>
    <row r="96">
      <c r="A96">
        <f t="shared" si="1596"/>
        <v>93</v>
      </c>
      <c r="B96">
        <v>8.0220551654262664</v>
      </c>
      <c r="D96">
        <f t="shared" si="1597"/>
        <v>93</v>
      </c>
      <c r="E96">
        <f t="shared" si="1588"/>
        <v>0.12026190709106502</v>
      </c>
      <c r="F96">
        <f t="shared" si="1599"/>
        <v>1.73810176902219</v>
      </c>
      <c r="V96">
        <f t="shared" si="1589"/>
        <v>93</v>
      </c>
      <c r="W96">
        <f t="shared" si="1590"/>
        <v>0.12026190709106502</v>
      </c>
      <c r="X96">
        <f t="shared" si="1591"/>
        <v>1.73810176902219</v>
      </c>
      <c r="Y96">
        <f t="shared" si="1592"/>
        <v>-1.6178398619311301</v>
      </c>
      <c r="Z96">
        <f t="shared" si="1587"/>
        <v>1.18147647624957</v>
      </c>
      <c r="AA96">
        <f t="shared" si="1593"/>
        <v>-3.9334910898189799</v>
      </c>
      <c r="AB96">
        <f t="shared" si="1594"/>
        <v>0.69781136595672</v>
      </c>
      <c r="AD96">
        <f t="shared" si="1598"/>
        <v>93</v>
      </c>
      <c r="AE96">
        <f t="shared" si="1595"/>
        <v>8.02205516542627</v>
      </c>
    </row>
    <row r="97">
      <c r="A97">
        <f t="shared" si="1596"/>
        <v>94</v>
      </c>
      <c r="B97">
        <v>9.1001604867082797</v>
      </c>
      <c r="D97">
        <f t="shared" si="1597"/>
        <v>94</v>
      </c>
      <c r="E97">
        <f t="shared" si="1588"/>
        <v>-0.60786461534952596</v>
      </c>
      <c r="F97">
        <f t="shared" si="1599"/>
        <v>1.4757320403395799</v>
      </c>
      <c r="V97">
        <f t="shared" si="1589"/>
        <v>94</v>
      </c>
      <c r="W97">
        <f t="shared" si="1590"/>
        <v>-0.60786461534952596</v>
      </c>
      <c r="X97">
        <f t="shared" si="1591"/>
        <v>1.4757320403395799</v>
      </c>
      <c r="Y97">
        <f t="shared" si="1592"/>
        <v>-2.0835966556891101</v>
      </c>
      <c r="Z97">
        <f t="shared" si="1587"/>
        <v>1.18147647624957</v>
      </c>
      <c r="AA97">
        <f t="shared" si="1593"/>
        <v>-4.3992478835769599</v>
      </c>
      <c r="AB97">
        <f t="shared" si="1594"/>
        <v>0.23205457219874001</v>
      </c>
      <c r="AD97">
        <f t="shared" si="1598"/>
        <v>94</v>
      </c>
      <c r="AE97">
        <f t="shared" si="1595"/>
        <v>9.1001604867082797</v>
      </c>
    </row>
    <row r="98">
      <c r="A98">
        <f t="shared" si="1596"/>
        <v>95</v>
      </c>
      <c r="B98">
        <v>10.293563569831946</v>
      </c>
      <c r="D98">
        <f t="shared" si="1597"/>
        <v>95</v>
      </c>
      <c r="E98">
        <f>B100-2*B99+B98-J$6</f>
        <v>-0.40115913924950497</v>
      </c>
      <c r="F98">
        <f t="shared" si="1599"/>
        <v>0.67240139260824405</v>
      </c>
      <c r="V98">
        <f t="shared" si="1589"/>
        <v>95</v>
      </c>
      <c r="W98">
        <f t="shared" si="1590"/>
        <v>-0.40115913924950497</v>
      </c>
      <c r="X98">
        <f t="shared" si="1591"/>
        <v>0.67240139260824405</v>
      </c>
      <c r="Y98">
        <f t="shared" si="1592"/>
        <v>-1.0735605318577499</v>
      </c>
      <c r="Z98">
        <f t="shared" si="1587"/>
        <v>1.18147647624957</v>
      </c>
      <c r="AA98">
        <f t="shared" si="1593"/>
        <v>-3.3892117597456002</v>
      </c>
      <c r="AB98">
        <f t="shared" si="1594"/>
        <v>1.2420906960300999</v>
      </c>
      <c r="AD98">
        <f t="shared" si="1598"/>
        <v>95</v>
      </c>
      <c r="AE98">
        <f t="shared" si="1595"/>
        <v>10.2935635698319</v>
      </c>
    </row>
    <row r="99">
      <c r="A99">
        <f t="shared" si="1596"/>
        <v>96</v>
      </c>
      <c r="B99">
        <v>10.874137892356456</v>
      </c>
      <c r="D99">
        <f t="shared" si="1597"/>
        <v>96</v>
      </c>
      <c r="E99">
        <f>B101-2*B100+B99-J$6</f>
        <v>-0.84097221475230399</v>
      </c>
      <c r="F99">
        <f t="shared" si="1599"/>
        <v>-0.514802287345828</v>
      </c>
      <c r="V99">
        <f t="shared" si="1589"/>
        <v>96</v>
      </c>
      <c r="W99">
        <f t="shared" si="1590"/>
        <v>-0.84097221475230399</v>
      </c>
      <c r="X99">
        <f t="shared" si="1591"/>
        <v>-0.514802287345828</v>
      </c>
      <c r="Y99">
        <f t="shared" si="1592"/>
        <v>-0.32616992740647599</v>
      </c>
      <c r="Z99">
        <f t="shared" si="1587"/>
        <v>1.18147647624957</v>
      </c>
      <c r="AA99">
        <f t="shared" si="1593"/>
        <v>-2.64182115529433</v>
      </c>
      <c r="AB99">
        <f t="shared" si="1594"/>
        <v>1.9894813004813701</v>
      </c>
      <c r="AD99">
        <f t="shared" si="1598"/>
        <v>96</v>
      </c>
      <c r="AE99">
        <f t="shared" si="1595"/>
        <v>10.874137892356501</v>
      </c>
    </row>
    <row r="100">
      <c r="A100">
        <f t="shared" si="1596"/>
        <v>97</v>
      </c>
      <c r="B100">
        <v>11.048588930382072</v>
      </c>
      <c r="D100">
        <f t="shared" si="1597"/>
        <v>97</v>
      </c>
      <c r="E100">
        <f t="shared" ref="E100:E106" si="1600">B102-2*B101+B100-J$6</f>
        <v>1.4000792652952001</v>
      </c>
      <c r="F100">
        <f>E100-SUMPRODUCT(E98:E99,I$4:I$5)-SUMPRODUCT(F99,J$5)</f>
        <v>0.42609240295737</v>
      </c>
      <c r="V100">
        <f t="shared" ref="V100:V106" si="1601">D100</f>
        <v>97</v>
      </c>
      <c r="W100">
        <f t="shared" ref="W100:W106" si="1602">E100</f>
        <v>1.4000792652952001</v>
      </c>
      <c r="X100">
        <f t="shared" ref="X100:X106" si="1603">F100</f>
        <v>0.42609240295737</v>
      </c>
      <c r="Y100">
        <f t="shared" ref="Y100:Y106" si="1604">W100-X100</f>
        <v>0.97398686233782994</v>
      </c>
      <c r="Z100">
        <f t="shared" si="1587"/>
        <v>1.18147647624957</v>
      </c>
      <c r="AA100">
        <f t="shared" ref="AA100:AA111" si="1605">Y100-NORMSINV(1-Z$2/2)*Z100</f>
        <v>-1.34166436555002</v>
      </c>
      <c r="AB100">
        <f t="shared" ref="AB100:AB111" si="1606">Y100+NORMSINV(1-Z$2/2)*Z100</f>
        <v>3.2896380902256799</v>
      </c>
      <c r="AD100">
        <f t="shared" si="1598"/>
        <v>97</v>
      </c>
      <c r="AE100">
        <f t="shared" ref="AE100:AE108" si="1607">B100</f>
        <v>11.048588930382101</v>
      </c>
    </row>
    <row r="101">
      <c r="A101">
        <f t="shared" ref="A101:A108" si="1608">A100+1</f>
        <v>98</v>
      </c>
      <c r="B101">
        <v>10.377103608405848</v>
      </c>
      <c r="D101">
        <f t="shared" ref="D101:D106" si="1609">D100+1</f>
        <v>98</v>
      </c>
      <c r="E101">
        <f t="shared" si="1600"/>
        <v>-2.2629423695240098</v>
      </c>
      <c r="F101">
        <f>E101-SUMPRODUCT(E99:E100,I$4:I$5)-SUMPRODUCT(F100,J$5)</f>
        <v>-1.2662378883307901</v>
      </c>
      <c r="V101">
        <f t="shared" si="1601"/>
        <v>98</v>
      </c>
      <c r="W101">
        <f t="shared" si="1602"/>
        <v>-2.2629423695240098</v>
      </c>
      <c r="X101">
        <f t="shared" si="1603"/>
        <v>-1.2662378883307901</v>
      </c>
      <c r="Y101">
        <f t="shared" si="1604"/>
        <v>-0.99670448119321997</v>
      </c>
      <c r="Z101">
        <f t="shared" si="1587"/>
        <v>1.18147647624957</v>
      </c>
      <c r="AA101">
        <f t="shared" si="1605"/>
        <v>-3.31235570908107</v>
      </c>
      <c r="AB101">
        <f t="shared" si="1606"/>
        <v>1.3189467466946301</v>
      </c>
      <c r="AD101">
        <f t="shared" ref="AD101:AD113" si="1610">AD100+1</f>
        <v>98</v>
      </c>
      <c r="AE101">
        <f t="shared" si="1607"/>
        <v>10.3771036084059</v>
      </c>
    </row>
    <row r="102">
      <c r="A102">
        <f t="shared" si="1608"/>
        <v>99</v>
      </c>
      <c r="B102">
        <v>11.100733406475408</v>
      </c>
      <c r="D102">
        <f t="shared" si="1609"/>
        <v>99</v>
      </c>
      <c r="E102">
        <f t="shared" si="1600"/>
        <v>2.1193961843798999</v>
      </c>
      <c r="F102">
        <f t="shared" ref="F102:F106" si="1611">E102-SUMPRODUCT(E100:E101,I$4:I$5)-SUMPRODUCT(F101,J$5)</f>
        <v>-2.2009071222069999e-02</v>
      </c>
      <c r="V102">
        <f t="shared" si="1601"/>
        <v>99</v>
      </c>
      <c r="W102">
        <f t="shared" si="1602"/>
        <v>2.1193961843798999</v>
      </c>
      <c r="X102">
        <f t="shared" si="1603"/>
        <v>-2.2009071222069999e-02</v>
      </c>
      <c r="Y102">
        <f t="shared" si="1604"/>
        <v>2.14140525560197</v>
      </c>
      <c r="Z102">
        <f t="shared" si="1587"/>
        <v>1.18147647624957</v>
      </c>
      <c r="AA102">
        <f t="shared" si="1605"/>
        <v>-0.17424597228588001</v>
      </c>
      <c r="AB102">
        <f t="shared" si="1606"/>
        <v>4.4570564834898203</v>
      </c>
      <c r="AD102">
        <f t="shared" si="1610"/>
        <v>99</v>
      </c>
      <c r="AE102">
        <f t="shared" si="1607"/>
        <v>11.100733406475401</v>
      </c>
    </row>
    <row r="103">
      <c r="A103">
        <f t="shared" si="1608"/>
        <v>100</v>
      </c>
      <c r="B103">
        <v>9.5564566897714425</v>
      </c>
      <c r="D103">
        <f t="shared" si="1609"/>
        <v>100</v>
      </c>
      <c r="E103">
        <f t="shared" si="1600"/>
        <v>-7.3146389656064001e-02</v>
      </c>
      <c r="F103">
        <f t="shared" si="1611"/>
        <v>0.66874127719238396</v>
      </c>
      <c r="V103">
        <f t="shared" si="1601"/>
        <v>100</v>
      </c>
      <c r="W103">
        <f t="shared" si="1602"/>
        <v>-7.3146389656064001e-02</v>
      </c>
      <c r="X103">
        <f t="shared" si="1603"/>
        <v>0.66874127719238396</v>
      </c>
      <c r="Y103">
        <f t="shared" si="1604"/>
        <v>-0.74188766684844798</v>
      </c>
      <c r="Z103">
        <f t="shared" si="1587"/>
        <v>1.18147647624957</v>
      </c>
      <c r="AA103">
        <f t="shared" si="1605"/>
        <v>-3.0575388947362998</v>
      </c>
      <c r="AB103">
        <f t="shared" si="1606"/>
        <v>1.5737635610394001</v>
      </c>
      <c r="AD103">
        <f t="shared" si="1610"/>
        <v>100</v>
      </c>
      <c r="AE103">
        <f t="shared" si="1607"/>
        <v>9.5564566897714407</v>
      </c>
    </row>
    <row r="104">
      <c r="A104">
        <f t="shared" si="1608"/>
        <v>101</v>
      </c>
      <c r="B104">
        <v>10.126612012197912</v>
      </c>
      <c r="D104">
        <f t="shared" si="1609"/>
        <v>101</v>
      </c>
      <c r="E104">
        <f t="shared" si="1600"/>
        <v>0.26364020552349399</v>
      </c>
      <c r="F104">
        <f t="shared" si="1611"/>
        <v>1.16224684428168</v>
      </c>
      <c r="V104">
        <f t="shared" si="1601"/>
        <v>101</v>
      </c>
      <c r="W104">
        <f t="shared" si="1602"/>
        <v>0.26364020552349399</v>
      </c>
      <c r="X104">
        <f t="shared" si="1603"/>
        <v>1.16224684428168</v>
      </c>
      <c r="Y104">
        <f t="shared" si="1604"/>
        <v>-0.89860663875818614</v>
      </c>
      <c r="Z104">
        <f t="shared" si="1587"/>
        <v>1.18147647624957</v>
      </c>
      <c r="AA104">
        <f t="shared" si="1605"/>
        <v>-3.2142578666460402</v>
      </c>
      <c r="AB104">
        <f t="shared" si="1606"/>
        <v>1.4170445891296599</v>
      </c>
      <c r="AD104">
        <f t="shared" si="1610"/>
        <v>101</v>
      </c>
      <c r="AE104">
        <f t="shared" si="1607"/>
        <v>10.126612012197899</v>
      </c>
    </row>
    <row r="105">
      <c r="A105">
        <f t="shared" si="1608"/>
        <v>102</v>
      </c>
      <c r="B105">
        <v>10.618656799718755</v>
      </c>
      <c r="D105">
        <f t="shared" si="1609"/>
        <v>102</v>
      </c>
      <c r="E105">
        <f t="shared" si="1600"/>
        <v>-1.3536921298237099</v>
      </c>
      <c r="F105">
        <f t="shared" si="1611"/>
        <v>-0.14820214123166001</v>
      </c>
      <c r="V105">
        <f t="shared" si="1601"/>
        <v>102</v>
      </c>
      <c r="W105">
        <f t="shared" si="1602"/>
        <v>-1.3536921298237099</v>
      </c>
      <c r="X105">
        <f t="shared" si="1603"/>
        <v>-0.14820214123166001</v>
      </c>
      <c r="Y105">
        <f t="shared" si="1604"/>
        <v>-1.20548998859205</v>
      </c>
      <c r="Z105">
        <f t="shared" si="1587"/>
        <v>1.18147647624957</v>
      </c>
      <c r="AA105">
        <f t="shared" si="1605"/>
        <v>-3.5211412164798999</v>
      </c>
      <c r="AB105">
        <f t="shared" si="1606"/>
        <v>1.1101612392958</v>
      </c>
      <c r="AD105">
        <f t="shared" si="1610"/>
        <v>102</v>
      </c>
      <c r="AE105">
        <f t="shared" si="1607"/>
        <v>10.618656799718799</v>
      </c>
    </row>
    <row r="106">
      <c r="A106">
        <f t="shared" si="1608"/>
        <v>103</v>
      </c>
      <c r="B106">
        <v>11.369377647513677</v>
      </c>
      <c r="D106" s="14">
        <f t="shared" si="1609"/>
        <v>103</v>
      </c>
      <c r="E106" s="14">
        <f t="shared" si="1600"/>
        <v>1.8062224077754001</v>
      </c>
      <c r="F106" s="14">
        <f t="shared" si="1611"/>
        <v>1.0058240108207901</v>
      </c>
      <c r="V106">
        <f t="shared" si="1601"/>
        <v>103</v>
      </c>
      <c r="W106">
        <f t="shared" si="1602"/>
        <v>1.8062224077754001</v>
      </c>
      <c r="X106">
        <f t="shared" si="1603"/>
        <v>1.0058240108207901</v>
      </c>
      <c r="Y106">
        <f t="shared" si="1604"/>
        <v>0.80039839695461001</v>
      </c>
      <c r="Z106">
        <f t="shared" si="1587"/>
        <v>1.18147647624957</v>
      </c>
      <c r="AA106">
        <f t="shared" si="1605"/>
        <v>-1.51525283093324</v>
      </c>
      <c r="AB106">
        <f t="shared" si="1606"/>
        <v>3.1160496248424598</v>
      </c>
      <c r="AD106">
        <f t="shared" si="1610"/>
        <v>103</v>
      </c>
      <c r="AE106">
        <f t="shared" si="1607"/>
        <v>11.3693776475137</v>
      </c>
    </row>
    <row r="107">
      <c r="A107">
        <f t="shared" si="1608"/>
        <v>104</v>
      </c>
      <c r="B107">
        <v>10.761442220235375</v>
      </c>
      <c r="V107">
        <f t="shared" ref="V107:V111" si="1612">V106+1</f>
        <v>104</v>
      </c>
      <c r="Y107">
        <f>SUMPRODUCT(W105:W106,I$4:I$5)+SUMPRODUCT(X106,J$5)</f>
        <v>-1.66956669636139</v>
      </c>
      <c r="Z107" t="e">
        <f t="shared" ref="Z107:Z111" si="1613">J$15*SQRT(SUMSQ(M$15:M15))</f>
        <v>#NAME?</v>
      </c>
      <c r="AA107" t="e">
        <f t="shared" si="1605"/>
        <v>#NAME?</v>
      </c>
      <c r="AB107" t="e">
        <f t="shared" si="1606"/>
        <v>#NAME?</v>
      </c>
      <c r="AD107">
        <f t="shared" si="1610"/>
        <v>104</v>
      </c>
      <c r="AE107">
        <f t="shared" si="1607"/>
        <v>10.7614422202354</v>
      </c>
    </row>
    <row r="108">
      <c r="A108">
        <f t="shared" si="1608"/>
        <v>105</v>
      </c>
      <c r="B108" s="14">
        <v>11.954765055482961</v>
      </c>
      <c r="V108">
        <f t="shared" si="1612"/>
        <v>105</v>
      </c>
      <c r="Y108">
        <f>SUMPRODUCT(W106,I4)+SUMPRODUCT(Y107,I5)</f>
        <v>0.59702459985991596</v>
      </c>
      <c r="Z108" t="e">
        <f t="shared" si="1613"/>
        <v>#NAME?</v>
      </c>
      <c r="AA108" t="e">
        <f t="shared" si="1605"/>
        <v>#NAME?</v>
      </c>
      <c r="AB108" t="e">
        <f t="shared" si="1606"/>
        <v>#NAME?</v>
      </c>
      <c r="AD108" s="14">
        <f t="shared" si="1610"/>
        <v>105</v>
      </c>
      <c r="AE108" s="14">
        <f t="shared" si="1607"/>
        <v>11.954765055483</v>
      </c>
    </row>
    <row r="109">
      <c r="V109">
        <f t="shared" si="1612"/>
        <v>106</v>
      </c>
      <c r="Y109">
        <f>SUMPRODUCT(Y107:Y108,I4:I5)</f>
        <v>-6.1194562564869007e-02</v>
      </c>
      <c r="Z109" t="e">
        <f t="shared" si="1613"/>
        <v>#NAME?</v>
      </c>
      <c r="AA109" t="e">
        <f t="shared" si="1605"/>
        <v>#NAME?</v>
      </c>
      <c r="AB109" t="e">
        <f t="shared" si="1606"/>
        <v>#NAME?</v>
      </c>
      <c r="AD109">
        <f t="shared" si="1610"/>
        <v>106</v>
      </c>
      <c r="AE109">
        <f t="shared" ref="AE109:AE113" si="1614">Y107+2*AE108-AE107+J$6</f>
        <v>11.4735570491197</v>
      </c>
    </row>
    <row r="110">
      <c r="V110">
        <f t="shared" si="1612"/>
        <v>107</v>
      </c>
      <c r="Y110">
        <f>SUMPRODUCT(Y108:Y109,I4:I5)</f>
        <v>-5.7090064408108002e-02</v>
      </c>
      <c r="Z110" t="e">
        <f t="shared" si="1613"/>
        <v>#NAME?</v>
      </c>
      <c r="AA110" t="e">
        <f t="shared" si="1605"/>
        <v>#NAME?</v>
      </c>
      <c r="AB110" t="e">
        <f t="shared" si="1606"/>
        <v>#NAME?</v>
      </c>
      <c r="AD110">
        <f t="shared" si="1610"/>
        <v>107</v>
      </c>
      <c r="AE110">
        <f t="shared" si="1614"/>
        <v>11.584409497366799</v>
      </c>
    </row>
    <row r="111">
      <c r="V111" s="14">
        <f t="shared" si="1612"/>
        <v>108</v>
      </c>
      <c r="W111" s="14"/>
      <c r="X111" s="14"/>
      <c r="Y111" s="14">
        <f>SUMPRODUCT(Y109:Y110,I4:I5)</f>
        <v>3.8707951701269998e-02</v>
      </c>
      <c r="Z111" s="14" t="e">
        <f t="shared" si="1613"/>
        <v>#NAME?</v>
      </c>
      <c r="AA111" s="14" t="e">
        <f t="shared" si="1605"/>
        <v>#NAME?</v>
      </c>
      <c r="AB111" s="14" t="e">
        <f t="shared" si="1606"/>
        <v>#NAME?</v>
      </c>
      <c r="AD111">
        <f t="shared" si="1610"/>
        <v>108</v>
      </c>
      <c r="AE111">
        <f t="shared" si="1614"/>
        <v>11.6291032377995</v>
      </c>
    </row>
    <row r="112">
      <c r="AD112">
        <f t="shared" si="1610"/>
        <v>109</v>
      </c>
      <c r="AE112">
        <f t="shared" si="1614"/>
        <v>11.611742768574601</v>
      </c>
    </row>
    <row r="113">
      <c r="AD113" s="14">
        <f t="shared" si="1610"/>
        <v>110</v>
      </c>
      <c r="AE113" s="14">
        <f t="shared" si="1614"/>
        <v>11.628126105801501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8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:A"/>
    </sheetView>
  </sheetViews>
  <sheetFormatPr defaultRowHeight="14.25"/>
  <sheetData>
    <row r="1">
      <c r="A1">
        <v>7131</v>
      </c>
      <c r="C1" t="s">
        <v>593</v>
      </c>
      <c r="H1" t="s">
        <v>475</v>
      </c>
      <c r="L1" t="s">
        <v>594</v>
      </c>
      <c r="O1" t="s">
        <v>595</v>
      </c>
      <c r="S1" t="s">
        <v>479</v>
      </c>
    </row>
    <row r="2">
      <c r="A2">
        <v>6566</v>
      </c>
    </row>
    <row r="3">
      <c r="A3">
        <v>7560</v>
      </c>
      <c r="C3" s="24" t="s">
        <v>355</v>
      </c>
      <c r="D3" s="24" t="s">
        <v>173</v>
      </c>
      <c r="E3" s="24" t="s">
        <v>480</v>
      </c>
      <c r="F3" s="24" t="s">
        <v>193</v>
      </c>
      <c r="I3" s="15" t="s">
        <v>596</v>
      </c>
      <c r="J3" s="15" t="s">
        <v>597</v>
      </c>
      <c r="L3" t="s">
        <v>494</v>
      </c>
      <c r="M3" s="7">
        <v>108.6436237479904</v>
      </c>
      <c r="O3" s="24" t="s">
        <v>469</v>
      </c>
      <c r="P3" s="24" t="s">
        <v>470</v>
      </c>
      <c r="Q3" s="24" t="s">
        <v>484</v>
      </c>
      <c r="S3" s="24" t="s">
        <v>355</v>
      </c>
      <c r="T3" s="24" t="s">
        <v>193</v>
      </c>
    </row>
    <row r="4">
      <c r="A4">
        <v>12947</v>
      </c>
      <c r="C4" s="42">
        <v>1</v>
      </c>
      <c r="D4" s="42" t="e">
        <v>#NAME?</v>
      </c>
      <c r="E4" s="42" t="e">
        <v>#NAME?</v>
      </c>
      <c r="F4" s="42" t="e">
        <v>#NAME?</v>
      </c>
      <c r="H4" t="s">
        <v>497</v>
      </c>
      <c r="I4" s="5">
        <v>1</v>
      </c>
      <c r="J4" s="6">
        <v>1</v>
      </c>
      <c r="L4" t="s">
        <v>488</v>
      </c>
      <c r="M4" s="10">
        <v>8.0363289652260833e-02</v>
      </c>
      <c r="O4" s="26" t="e">
        <v>#NAME?</v>
      </c>
      <c r="P4" s="26" t="e">
        <v>#NAME?</v>
      </c>
      <c r="Q4" s="26" t="e">
        <v>#NAME?</v>
      </c>
      <c r="S4">
        <v>1</v>
      </c>
      <c r="T4">
        <f t="shared" ref="T4:T12" si="1615">A1</f>
        <v>7131</v>
      </c>
    </row>
    <row r="5">
      <c r="A5">
        <v>9857</v>
      </c>
      <c r="C5">
        <f t="shared" ref="C5:C10" si="1616">C4+1</f>
        <v>2</v>
      </c>
      <c r="D5" t="e">
        <v>#NAME?</v>
      </c>
      <c r="E5" t="e">
        <v>#NAME?</v>
      </c>
      <c r="F5" t="e">
        <v>#NAME?</v>
      </c>
      <c r="H5" t="s">
        <v>498</v>
      </c>
      <c r="I5" s="8">
        <v>1</v>
      </c>
      <c r="J5" s="9">
        <v>1</v>
      </c>
      <c r="L5" t="s">
        <v>581</v>
      </c>
      <c r="M5" s="10">
        <v>0.45132282070761376</v>
      </c>
      <c r="S5">
        <f t="shared" ref="S5:S10" si="1617">S4+1</f>
        <v>2</v>
      </c>
      <c r="T5">
        <f t="shared" si="1615"/>
        <v>6566</v>
      </c>
    </row>
    <row r="6">
      <c r="A6">
        <v>9913</v>
      </c>
      <c r="C6">
        <f t="shared" si="1616"/>
        <v>3</v>
      </c>
      <c r="D6" t="e">
        <v>#NAME?</v>
      </c>
      <c r="E6" t="e">
        <v>#NAME?</v>
      </c>
      <c r="F6" t="e">
        <v>#NAME?</v>
      </c>
      <c r="H6" t="s">
        <v>181</v>
      </c>
      <c r="I6" s="8">
        <v>1</v>
      </c>
      <c r="J6" s="9">
        <v>1</v>
      </c>
      <c r="L6" t="s">
        <v>598</v>
      </c>
      <c r="M6" s="10">
        <v>0.97368447217283871</v>
      </c>
      <c r="O6" t="s">
        <v>599</v>
      </c>
      <c r="S6">
        <f t="shared" si="1617"/>
        <v>3</v>
      </c>
      <c r="T6">
        <f t="shared" si="1615"/>
        <v>7560</v>
      </c>
    </row>
    <row r="7">
      <c r="A7">
        <v>10876</v>
      </c>
      <c r="C7">
        <f t="shared" si="1616"/>
        <v>4</v>
      </c>
      <c r="D7" t="e">
        <v>#NAME?</v>
      </c>
      <c r="E7" t="e">
        <v>#NAME?</v>
      </c>
      <c r="F7" t="e">
        <v>#NAME?</v>
      </c>
      <c r="H7" t="s">
        <v>600</v>
      </c>
      <c r="I7" s="8"/>
      <c r="J7" s="9">
        <v>4</v>
      </c>
      <c r="L7" t="s">
        <v>601</v>
      </c>
      <c r="M7" s="13">
        <v>-0.59998995341619576</v>
      </c>
      <c r="S7">
        <f t="shared" si="1617"/>
        <v>4</v>
      </c>
      <c r="T7">
        <f t="shared" si="1615"/>
        <v>12947</v>
      </c>
    </row>
    <row r="8">
      <c r="A8">
        <v>17431</v>
      </c>
      <c r="C8">
        <f t="shared" si="1616"/>
        <v>5</v>
      </c>
      <c r="D8" t="e">
        <v>#NAME?</v>
      </c>
      <c r="E8" t="e">
        <v>#NAME?</v>
      </c>
      <c r="F8" t="e">
        <v>#NAME?</v>
      </c>
      <c r="H8" t="s">
        <v>494</v>
      </c>
      <c r="I8" s="11"/>
      <c r="J8" s="73" t="b">
        <v>1</v>
      </c>
      <c r="O8" s="24" t="s">
        <v>469</v>
      </c>
      <c r="P8" s="24" t="s">
        <v>470</v>
      </c>
      <c r="Q8" s="24" t="s">
        <v>484</v>
      </c>
      <c r="S8">
        <f t="shared" si="1617"/>
        <v>5</v>
      </c>
      <c r="T8">
        <f t="shared" si="1615"/>
        <v>9857</v>
      </c>
    </row>
    <row r="9">
      <c r="A9">
        <v>13185</v>
      </c>
      <c r="C9">
        <f t="shared" si="1616"/>
        <v>6</v>
      </c>
      <c r="D9" t="e">
        <v>#NAME?</v>
      </c>
      <c r="E9" t="e">
        <v>#NAME?</v>
      </c>
      <c r="F9" t="e">
        <v>#NAME?</v>
      </c>
      <c r="O9" s="26" t="e">
        <v>#NAME?</v>
      </c>
      <c r="P9" s="26" t="e">
        <v>#NAME?</v>
      </c>
      <c r="Q9" s="26" t="e">
        <v>#NAME?</v>
      </c>
      <c r="S9">
        <f t="shared" si="1617"/>
        <v>6</v>
      </c>
      <c r="T9">
        <f t="shared" si="1615"/>
        <v>9913</v>
      </c>
    </row>
    <row r="10">
      <c r="A10">
        <v>12834</v>
      </c>
      <c r="C10">
        <f t="shared" si="1616"/>
        <v>7</v>
      </c>
      <c r="D10" t="e">
        <v>#NAME?</v>
      </c>
      <c r="E10" t="e">
        <v>#NAME?</v>
      </c>
      <c r="F10" t="e">
        <v>#NAME?</v>
      </c>
      <c r="H10" t="s">
        <v>579</v>
      </c>
      <c r="I10" s="7" t="e">
        <f>SUMSQ(E4:E28)</f>
        <v>#NAME?</v>
      </c>
      <c r="S10">
        <f t="shared" si="1617"/>
        <v>7</v>
      </c>
      <c r="T10">
        <f t="shared" si="1615"/>
        <v>10876</v>
      </c>
    </row>
    <row r="11">
      <c r="A11">
        <v>13806</v>
      </c>
      <c r="C11">
        <f t="shared" ref="C11:C32" si="1618">C10+1</f>
        <v>8</v>
      </c>
      <c r="D11" t="e">
        <v>#NAME?</v>
      </c>
      <c r="E11" t="e">
        <v>#NAME?</v>
      </c>
      <c r="F11" t="e">
        <v>#NAME?</v>
      </c>
      <c r="H11" t="s">
        <v>496</v>
      </c>
      <c r="I11" s="45" t="s">
        <v>363</v>
      </c>
      <c r="O11" t="s">
        <v>602</v>
      </c>
      <c r="S11">
        <f t="shared" ref="S11:S37" si="1619">S10+1</f>
        <v>8</v>
      </c>
      <c r="T11">
        <f t="shared" si="1615"/>
        <v>17431</v>
      </c>
    </row>
    <row r="12">
      <c r="A12">
        <v>21268</v>
      </c>
      <c r="C12">
        <f t="shared" si="1618"/>
        <v>9</v>
      </c>
      <c r="D12" t="e">
        <v>#NAME?</v>
      </c>
      <c r="E12" t="e">
        <v>#NAME?</v>
      </c>
      <c r="F12" t="e">
        <v>#NAME?</v>
      </c>
      <c r="S12">
        <f t="shared" si="1619"/>
        <v>9</v>
      </c>
      <c r="T12">
        <f t="shared" si="1615"/>
        <v>13185</v>
      </c>
    </row>
    <row r="13">
      <c r="A13">
        <v>16070</v>
      </c>
      <c r="C13">
        <f t="shared" si="1618"/>
        <v>10</v>
      </c>
      <c r="D13" t="e">
        <v>#NAME?</v>
      </c>
      <c r="E13" t="e">
        <v>#NAME?</v>
      </c>
      <c r="F13" t="e">
        <v>#NAME?</v>
      </c>
      <c r="H13" t="s">
        <v>500</v>
      </c>
      <c r="I13" s="7" t="e">
        <f>AVERAGE(E9:E28)</f>
        <v>#NAME?</v>
      </c>
      <c r="O13" s="24" t="s">
        <v>469</v>
      </c>
      <c r="P13" s="24" t="s">
        <v>470</v>
      </c>
      <c r="Q13" s="24" t="s">
        <v>484</v>
      </c>
      <c r="S13">
        <f t="shared" si="1619"/>
        <v>10</v>
      </c>
      <c r="T13">
        <f t="shared" ref="T13:T33" si="1620">A10</f>
        <v>12834</v>
      </c>
    </row>
    <row r="14">
      <c r="A14">
        <v>15704</v>
      </c>
      <c r="C14">
        <f t="shared" si="1618"/>
        <v>11</v>
      </c>
      <c r="D14" t="e">
        <v>#NAME?</v>
      </c>
      <c r="E14" t="e">
        <v>#NAME?</v>
      </c>
      <c r="F14" t="e">
        <v>#NAME?</v>
      </c>
      <c r="H14" t="s">
        <v>502</v>
      </c>
      <c r="I14" s="10" t="e">
        <f>_xlfn.STDEV.S(E9:E28)</f>
        <v>#NAME?</v>
      </c>
      <c r="O14" s="26" t="e">
        <v>#NAME?</v>
      </c>
      <c r="P14" s="26" t="e">
        <v>#NAME?</v>
      </c>
      <c r="Q14" s="26" t="e">
        <v>#NAME?</v>
      </c>
      <c r="S14">
        <f t="shared" si="1619"/>
        <v>11</v>
      </c>
      <c r="T14">
        <f t="shared" si="1620"/>
        <v>13806</v>
      </c>
    </row>
    <row r="15">
      <c r="A15">
        <v>17092</v>
      </c>
      <c r="C15">
        <f t="shared" si="1618"/>
        <v>12</v>
      </c>
      <c r="D15" t="e">
        <v>#NAME?</v>
      </c>
      <c r="E15" t="e">
        <v>#NAME?</v>
      </c>
      <c r="F15" t="e">
        <v>#NAME?</v>
      </c>
      <c r="H15" t="s">
        <v>503</v>
      </c>
      <c r="I15" s="10" t="e">
        <f>I10/I18</f>
        <v>#NAME?</v>
      </c>
      <c r="S15">
        <f t="shared" si="1619"/>
        <v>12</v>
      </c>
      <c r="T15">
        <f t="shared" si="1620"/>
        <v>21268</v>
      </c>
    </row>
    <row r="16">
      <c r="A16">
        <v>25586</v>
      </c>
      <c r="C16">
        <f t="shared" si="1618"/>
        <v>13</v>
      </c>
      <c r="D16" t="e">
        <v>#NAME?</v>
      </c>
      <c r="E16" t="e">
        <v>#NAME?</v>
      </c>
      <c r="F16" t="e">
        <v>#NAME?</v>
      </c>
      <c r="H16" t="s">
        <v>504</v>
      </c>
      <c r="I16" s="10" t="e">
        <f>AVERAGE(D9:D28)</f>
        <v>#NAME?</v>
      </c>
      <c r="O16" t="s">
        <v>603</v>
      </c>
      <c r="S16">
        <f t="shared" si="1619"/>
        <v>13</v>
      </c>
      <c r="T16">
        <f t="shared" si="1620"/>
        <v>16070</v>
      </c>
    </row>
    <row r="17">
      <c r="A17">
        <v>19741</v>
      </c>
      <c r="C17">
        <f t="shared" si="1618"/>
        <v>14</v>
      </c>
      <c r="D17" t="e">
        <v>#NAME?</v>
      </c>
      <c r="E17" t="e">
        <v>#NAME?</v>
      </c>
      <c r="F17" t="e">
        <v>#NAME?</v>
      </c>
      <c r="H17" t="s">
        <v>505</v>
      </c>
      <c r="I17" s="10" t="e">
        <f>_xlfn.STDEV.S(D9:D28)</f>
        <v>#NAME?</v>
      </c>
      <c r="S17">
        <f t="shared" si="1619"/>
        <v>14</v>
      </c>
      <c r="T17">
        <f t="shared" si="1620"/>
        <v>15704</v>
      </c>
    </row>
    <row r="18">
      <c r="A18">
        <v>19340</v>
      </c>
      <c r="C18">
        <f t="shared" si="1618"/>
        <v>15</v>
      </c>
      <c r="D18" t="e">
        <v>#NAME?</v>
      </c>
      <c r="E18" t="e">
        <v>#NAME?</v>
      </c>
      <c r="F18" t="e">
        <v>#NAME?</v>
      </c>
      <c r="H18" t="s">
        <v>506</v>
      </c>
      <c r="I18" s="13">
        <f>COUNT(D9:D28)</f>
        <v>0</v>
      </c>
      <c r="O18" s="24" t="s">
        <v>469</v>
      </c>
      <c r="P18" s="24" t="s">
        <v>470</v>
      </c>
      <c r="Q18" s="24" t="s">
        <v>484</v>
      </c>
      <c r="S18">
        <f t="shared" si="1619"/>
        <v>15</v>
      </c>
      <c r="T18">
        <f t="shared" si="1620"/>
        <v>17092</v>
      </c>
    </row>
    <row r="19">
      <c r="A19">
        <v>20579</v>
      </c>
      <c r="C19">
        <f t="shared" si="1618"/>
        <v>16</v>
      </c>
      <c r="D19" t="e">
        <v>#NAME?</v>
      </c>
      <c r="E19" t="e">
        <v>#NAME?</v>
      </c>
      <c r="F19" t="e">
        <v>#NAME?</v>
      </c>
      <c r="O19" s="26" t="e">
        <v>#NAME?</v>
      </c>
      <c r="P19" s="26" t="e">
        <v>#NAME?</v>
      </c>
      <c r="Q19" s="26" t="e">
        <v>#NAME?</v>
      </c>
      <c r="S19">
        <f t="shared" si="1619"/>
        <v>16</v>
      </c>
      <c r="T19">
        <f t="shared" si="1620"/>
        <v>25586</v>
      </c>
    </row>
    <row r="20">
      <c r="A20">
        <v>29328</v>
      </c>
      <c r="C20">
        <f t="shared" si="1618"/>
        <v>17</v>
      </c>
      <c r="D20" t="e">
        <v>#NAME?</v>
      </c>
      <c r="E20" t="e">
        <v>#NAME?</v>
      </c>
      <c r="F20" t="e">
        <v>#NAME?</v>
      </c>
      <c r="H20" t="s">
        <v>507</v>
      </c>
      <c r="I20" s="7" t="e">
        <f>-(I23-2*(I4+J4+I5+J5+1))/2</f>
        <v>#NAME?</v>
      </c>
      <c r="S20">
        <f t="shared" si="1619"/>
        <v>17</v>
      </c>
      <c r="T20">
        <f t="shared" si="1620"/>
        <v>19741</v>
      </c>
    </row>
    <row r="21">
      <c r="A21">
        <v>22717</v>
      </c>
      <c r="C21">
        <f t="shared" si="1618"/>
        <v>18</v>
      </c>
      <c r="D21" t="e">
        <v>#NAME?</v>
      </c>
      <c r="E21" t="e">
        <v>#NAME?</v>
      </c>
      <c r="F21" t="e">
        <v>#NAME?</v>
      </c>
      <c r="H21" t="s">
        <v>374</v>
      </c>
      <c r="I21" s="10" t="e">
        <f>I18*LN(I10/I18)+2*(I4+J4+I5+J5+1)</f>
        <v>#NAME?</v>
      </c>
      <c r="S21">
        <f t="shared" si="1619"/>
        <v>18</v>
      </c>
      <c r="T21">
        <f t="shared" si="1620"/>
        <v>19340</v>
      </c>
    </row>
    <row r="22">
      <c r="A22">
        <v>23185</v>
      </c>
      <c r="C22">
        <f t="shared" si="1618"/>
        <v>19</v>
      </c>
      <c r="D22" t="e">
        <v>#NAME?</v>
      </c>
      <c r="E22" t="e">
        <v>#NAME?</v>
      </c>
      <c r="F22" t="e">
        <v>#NAME?</v>
      </c>
      <c r="H22" t="s">
        <v>508</v>
      </c>
      <c r="I22" s="10" t="e">
        <f>I18*LN(I10/I18)+LN(I18)*(I4+J4+I5+J5+1)</f>
        <v>#NAME?</v>
      </c>
      <c r="S22">
        <f t="shared" si="1619"/>
        <v>19</v>
      </c>
      <c r="T22">
        <f t="shared" si="1620"/>
        <v>20579</v>
      </c>
    </row>
    <row r="23">
      <c r="A23">
        <v>25358</v>
      </c>
      <c r="C23">
        <f t="shared" si="1618"/>
        <v>20</v>
      </c>
      <c r="D23" t="e">
        <v>#NAME?</v>
      </c>
      <c r="E23" t="e">
        <v>#NAME?</v>
      </c>
      <c r="F23" t="e">
        <v>#NAME?</v>
      </c>
      <c r="H23" t="s">
        <v>509</v>
      </c>
      <c r="I23" s="10" t="e">
        <f>I18*(1+LN(2*PI()))+I21</f>
        <v>#NAME?</v>
      </c>
      <c r="S23">
        <f t="shared" si="1619"/>
        <v>20</v>
      </c>
      <c r="T23">
        <f t="shared" si="1620"/>
        <v>29328</v>
      </c>
    </row>
    <row r="24">
      <c r="A24">
        <v>35746</v>
      </c>
      <c r="C24">
        <f t="shared" si="1618"/>
        <v>21</v>
      </c>
      <c r="D24" t="e">
        <v>#NAME?</v>
      </c>
      <c r="E24" t="e">
        <v>#NAME?</v>
      </c>
      <c r="F24" t="e">
        <v>#NAME?</v>
      </c>
      <c r="H24" t="s">
        <v>510</v>
      </c>
      <c r="I24" s="13" t="e">
        <f>I18*(1+LN(2*PI()))+I22</f>
        <v>#NAME?</v>
      </c>
      <c r="S24">
        <f t="shared" si="1619"/>
        <v>21</v>
      </c>
      <c r="T24">
        <f t="shared" si="1620"/>
        <v>22717</v>
      </c>
    </row>
    <row r="25">
      <c r="A25">
        <v>29128</v>
      </c>
      <c r="C25">
        <f t="shared" si="1618"/>
        <v>22</v>
      </c>
      <c r="D25" t="e">
        <v>#NAME?</v>
      </c>
      <c r="E25" t="e">
        <v>#NAME?</v>
      </c>
      <c r="F25" t="e">
        <v>#NAME?</v>
      </c>
      <c r="S25">
        <f t="shared" si="1619"/>
        <v>22</v>
      </c>
      <c r="T25">
        <f t="shared" si="1620"/>
        <v>23185</v>
      </c>
    </row>
    <row r="26">
      <c r="A26">
        <v>30404</v>
      </c>
      <c r="C26">
        <f t="shared" si="1618"/>
        <v>23</v>
      </c>
      <c r="D26" t="e">
        <v>#NAME?</v>
      </c>
      <c r="E26" t="e">
        <v>#NAME?</v>
      </c>
      <c r="F26" t="e">
        <v>#NAME?</v>
      </c>
      <c r="S26">
        <f t="shared" si="1619"/>
        <v>23</v>
      </c>
      <c r="T26">
        <f t="shared" si="1620"/>
        <v>25358</v>
      </c>
    </row>
    <row r="27">
      <c r="A27">
        <v>32714</v>
      </c>
      <c r="C27">
        <f t="shared" si="1618"/>
        <v>24</v>
      </c>
      <c r="D27" t="e">
        <v>#NAME?</v>
      </c>
      <c r="E27" t="e">
        <v>#NAME?</v>
      </c>
      <c r="F27" t="e">
        <v>#NAME?</v>
      </c>
      <c r="S27">
        <f t="shared" si="1619"/>
        <v>24</v>
      </c>
      <c r="T27">
        <f t="shared" si="1620"/>
        <v>35746</v>
      </c>
    </row>
    <row r="28">
      <c r="A28">
        <v>43741</v>
      </c>
      <c r="C28" s="14">
        <f t="shared" si="1618"/>
        <v>25</v>
      </c>
      <c r="D28" s="14" t="e">
        <v>#NAME?</v>
      </c>
      <c r="E28" s="14" t="e">
        <v>#NAME?</v>
      </c>
      <c r="F28" s="14" t="e">
        <v>#NAME?</v>
      </c>
      <c r="S28">
        <f t="shared" si="1619"/>
        <v>25</v>
      </c>
      <c r="T28">
        <f t="shared" si="1620"/>
        <v>29128</v>
      </c>
    </row>
    <row r="29">
      <c r="A29">
        <v>35714</v>
      </c>
      <c r="C29">
        <f t="shared" si="1618"/>
        <v>26</v>
      </c>
      <c r="F29" t="e">
        <v>#NAME?</v>
      </c>
      <c r="S29">
        <f t="shared" si="1619"/>
        <v>26</v>
      </c>
      <c r="T29">
        <f t="shared" si="1620"/>
        <v>30404</v>
      </c>
    </row>
    <row r="30">
      <c r="A30">
        <v>37955</v>
      </c>
      <c r="C30">
        <f t="shared" si="1618"/>
        <v>27</v>
      </c>
      <c r="F30" t="e">
        <v>#NAME?</v>
      </c>
      <c r="S30">
        <f t="shared" si="1619"/>
        <v>27</v>
      </c>
      <c r="T30">
        <f t="shared" si="1620"/>
        <v>32714</v>
      </c>
    </row>
    <row r="31">
      <c r="A31" s="31" t="s">
        <v>604</v>
      </c>
      <c r="C31">
        <f t="shared" si="1618"/>
        <v>28</v>
      </c>
      <c r="F31" t="e">
        <v>#NAME?</v>
      </c>
      <c r="S31">
        <f t="shared" si="1619"/>
        <v>28</v>
      </c>
      <c r="T31">
        <f t="shared" si="1620"/>
        <v>43741</v>
      </c>
    </row>
    <row r="32">
      <c r="A32" s="31" t="s">
        <v>604</v>
      </c>
      <c r="C32" s="14">
        <f t="shared" si="1618"/>
        <v>29</v>
      </c>
      <c r="D32" s="14"/>
      <c r="E32" s="14"/>
      <c r="F32" s="14" t="e">
        <v>#NAME?</v>
      </c>
      <c r="S32">
        <f t="shared" si="1619"/>
        <v>29</v>
      </c>
      <c r="T32">
        <f t="shared" si="1620"/>
        <v>35714</v>
      </c>
    </row>
    <row r="33">
      <c r="A33" s="31" t="s">
        <v>604</v>
      </c>
      <c r="S33" s="14">
        <f t="shared" si="1619"/>
        <v>30</v>
      </c>
      <c r="T33" s="14">
        <f t="shared" si="1620"/>
        <v>37955</v>
      </c>
    </row>
    <row r="34">
      <c r="A34" s="31" t="s">
        <v>604</v>
      </c>
      <c r="S34">
        <f t="shared" si="1619"/>
        <v>31</v>
      </c>
      <c r="T34" t="e">
        <v>#NAME?</v>
      </c>
    </row>
    <row r="35">
      <c r="S35">
        <f t="shared" si="1619"/>
        <v>32</v>
      </c>
      <c r="T35" t="e">
        <v>#NAME?</v>
      </c>
    </row>
    <row r="36">
      <c r="S36">
        <f t="shared" si="1619"/>
        <v>33</v>
      </c>
      <c r="T36" t="e">
        <v>#NAME?</v>
      </c>
    </row>
    <row r="37">
      <c r="S37" s="14">
        <f t="shared" si="1619"/>
        <v>34</v>
      </c>
      <c r="T37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9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>
        <v>7131</v>
      </c>
      <c r="C1" t="s">
        <v>593</v>
      </c>
      <c r="H1" t="s">
        <v>475</v>
      </c>
      <c r="L1" t="s">
        <v>594</v>
      </c>
      <c r="O1" t="s">
        <v>595</v>
      </c>
      <c r="S1" t="s">
        <v>479</v>
      </c>
    </row>
    <row r="2">
      <c r="A2">
        <v>6566</v>
      </c>
    </row>
    <row r="3">
      <c r="A3">
        <v>7560</v>
      </c>
      <c r="C3" s="24" t="s">
        <v>355</v>
      </c>
      <c r="D3" s="24" t="s">
        <v>173</v>
      </c>
      <c r="E3" s="24" t="s">
        <v>480</v>
      </c>
      <c r="F3" s="24" t="s">
        <v>193</v>
      </c>
      <c r="I3" s="15" t="s">
        <v>596</v>
      </c>
      <c r="J3" s="15" t="s">
        <v>597</v>
      </c>
      <c r="L3" t="s">
        <v>494</v>
      </c>
      <c r="M3" s="7" t="e">
        <f t="array" ref="M3:M7">I28:I32</f>
        <v>#NAME?</v>
      </c>
      <c r="O3" s="24" t="s">
        <v>469</v>
      </c>
      <c r="P3" s="24" t="s">
        <v>470</v>
      </c>
      <c r="Q3" s="24" t="s">
        <v>484</v>
      </c>
      <c r="S3" s="24" t="s">
        <v>355</v>
      </c>
      <c r="T3" s="24" t="s">
        <v>193</v>
      </c>
    </row>
    <row r="4">
      <c r="A4">
        <v>12947</v>
      </c>
      <c r="C4" s="42">
        <v>1</v>
      </c>
      <c r="D4" s="42" t="e">
        <v>#NAME?</v>
      </c>
      <c r="E4" s="42" t="e">
        <v>#NAME?</v>
      </c>
      <c r="F4" s="42" t="e">
        <v>#NAME?</v>
      </c>
      <c r="H4" t="s">
        <v>497</v>
      </c>
      <c r="I4" s="5">
        <v>1</v>
      </c>
      <c r="J4" s="6">
        <v>1</v>
      </c>
      <c r="L4" t="s">
        <v>488</v>
      </c>
      <c r="M4" s="10" t="e">
        <f/>
        <v>#NAME?</v>
      </c>
      <c r="O4" s="26" t="e">
        <v>#NAME?</v>
      </c>
      <c r="P4" s="26" t="e">
        <v>#NAME?</v>
      </c>
      <c r="Q4" s="26" t="e">
        <v>#NAME?</v>
      </c>
      <c r="S4">
        <v>1</v>
      </c>
      <c r="T4">
        <f t="shared" ref="T4:T12" si="1621">A1</f>
        <v>7131</v>
      </c>
    </row>
    <row r="5">
      <c r="A5">
        <v>9857</v>
      </c>
      <c r="C5">
        <f t="shared" ref="C5:C10" si="1622">C4+1</f>
        <v>2</v>
      </c>
      <c r="D5" t="e">
        <v>#NAME?</v>
      </c>
      <c r="E5" t="e">
        <v>#NAME?</v>
      </c>
      <c r="F5" t="e">
        <v>#NAME?</v>
      </c>
      <c r="H5" t="s">
        <v>498</v>
      </c>
      <c r="I5" s="8">
        <v>1</v>
      </c>
      <c r="J5" s="9">
        <v>1</v>
      </c>
      <c r="L5" t="s">
        <v>581</v>
      </c>
      <c r="M5" s="10" t="e">
        <f/>
        <v>#NAME?</v>
      </c>
      <c r="S5">
        <f t="shared" ref="S5:S10" si="1623">S4+1</f>
        <v>2</v>
      </c>
      <c r="T5">
        <f t="shared" si="1621"/>
        <v>6566</v>
      </c>
    </row>
    <row r="6">
      <c r="A6">
        <v>9913</v>
      </c>
      <c r="C6">
        <f t="shared" si="1622"/>
        <v>3</v>
      </c>
      <c r="D6" t="e">
        <v>#NAME?</v>
      </c>
      <c r="E6" t="e">
        <v>#NAME?</v>
      </c>
      <c r="F6" t="e">
        <v>#NAME?</v>
      </c>
      <c r="H6" t="s">
        <v>181</v>
      </c>
      <c r="I6" s="8">
        <v>1</v>
      </c>
      <c r="J6" s="9">
        <v>1</v>
      </c>
      <c r="L6" t="s">
        <v>598</v>
      </c>
      <c r="M6" s="10" t="e">
        <f/>
        <v>#NAME?</v>
      </c>
      <c r="O6" t="s">
        <v>599</v>
      </c>
      <c r="S6">
        <f t="shared" si="1623"/>
        <v>3</v>
      </c>
      <c r="T6">
        <f t="shared" si="1621"/>
        <v>7560</v>
      </c>
    </row>
    <row r="7">
      <c r="A7">
        <v>10876</v>
      </c>
      <c r="C7">
        <f t="shared" si="1622"/>
        <v>4</v>
      </c>
      <c r="D7" t="e">
        <v>#NAME?</v>
      </c>
      <c r="E7" t="e">
        <v>#NAME?</v>
      </c>
      <c r="F7" t="e">
        <v>#NAME?</v>
      </c>
      <c r="H7" t="s">
        <v>600</v>
      </c>
      <c r="I7" s="8"/>
      <c r="J7" s="9">
        <v>4</v>
      </c>
      <c r="L7" t="s">
        <v>601</v>
      </c>
      <c r="M7" s="13" t="e">
        <f/>
        <v>#NAME?</v>
      </c>
      <c r="S7">
        <f t="shared" si="1623"/>
        <v>4</v>
      </c>
      <c r="T7">
        <f t="shared" si="1621"/>
        <v>12947</v>
      </c>
    </row>
    <row r="8">
      <c r="A8">
        <v>17431</v>
      </c>
      <c r="C8">
        <f t="shared" si="1622"/>
        <v>5</v>
      </c>
      <c r="D8" t="e">
        <v>#NAME?</v>
      </c>
      <c r="E8" t="e">
        <v>#NAME?</v>
      </c>
      <c r="F8" t="e">
        <v>#NAME?</v>
      </c>
      <c r="H8" t="s">
        <v>494</v>
      </c>
      <c r="I8" s="11"/>
      <c r="J8" s="73" t="b">
        <v>1</v>
      </c>
      <c r="O8" s="24" t="s">
        <v>469</v>
      </c>
      <c r="P8" s="24" t="s">
        <v>470</v>
      </c>
      <c r="Q8" s="24" t="s">
        <v>484</v>
      </c>
      <c r="S8">
        <f t="shared" si="1623"/>
        <v>5</v>
      </c>
      <c r="T8">
        <f t="shared" si="1621"/>
        <v>9857</v>
      </c>
    </row>
    <row r="9">
      <c r="A9">
        <v>13185</v>
      </c>
      <c r="C9">
        <f t="shared" si="1622"/>
        <v>6</v>
      </c>
      <c r="D9" t="e">
        <v>#NAME?</v>
      </c>
      <c r="E9" t="e">
        <v>#NAME?</v>
      </c>
      <c r="F9" t="e">
        <v>#NAME?</v>
      </c>
      <c r="O9" s="26" t="e">
        <v>#NAME?</v>
      </c>
      <c r="P9" s="26" t="e">
        <v>#NAME?</v>
      </c>
      <c r="Q9" s="26" t="e">
        <v>#NAME?</v>
      </c>
      <c r="S9">
        <f t="shared" si="1623"/>
        <v>6</v>
      </c>
      <c r="T9">
        <f t="shared" si="1621"/>
        <v>9913</v>
      </c>
    </row>
    <row r="10">
      <c r="A10">
        <v>12834</v>
      </c>
      <c r="C10">
        <f t="shared" si="1622"/>
        <v>7</v>
      </c>
      <c r="D10" t="e">
        <v>#NAME?</v>
      </c>
      <c r="E10" t="e">
        <v>#NAME?</v>
      </c>
      <c r="F10" t="e">
        <v>#NAME?</v>
      </c>
      <c r="H10" t="s">
        <v>579</v>
      </c>
      <c r="I10" s="7" t="e">
        <f>SUMSQ(E4:E28)</f>
        <v>#NAME?</v>
      </c>
      <c r="S10">
        <f t="shared" si="1623"/>
        <v>7</v>
      </c>
      <c r="T10">
        <f t="shared" si="1621"/>
        <v>10876</v>
      </c>
    </row>
    <row r="11">
      <c r="A11">
        <v>13806</v>
      </c>
      <c r="C11">
        <f t="shared" ref="C11:C32" si="1624">C10+1</f>
        <v>8</v>
      </c>
      <c r="D11" t="e">
        <v>#NAME?</v>
      </c>
      <c r="E11" t="e">
        <v>#NAME?</v>
      </c>
      <c r="F11" t="e">
        <v>#NAME?</v>
      </c>
      <c r="H11" t="s">
        <v>496</v>
      </c>
      <c r="I11" s="45" t="s">
        <v>363</v>
      </c>
      <c r="O11" t="s">
        <v>602</v>
      </c>
      <c r="S11">
        <f t="shared" ref="S11:S37" si="1625">S10+1</f>
        <v>8</v>
      </c>
      <c r="T11">
        <f t="shared" si="1621"/>
        <v>17431</v>
      </c>
    </row>
    <row r="12">
      <c r="A12">
        <v>21268</v>
      </c>
      <c r="C12">
        <f t="shared" si="1624"/>
        <v>9</v>
      </c>
      <c r="D12" t="e">
        <v>#NAME?</v>
      </c>
      <c r="E12" t="e">
        <v>#NAME?</v>
      </c>
      <c r="F12" t="e">
        <v>#NAME?</v>
      </c>
      <c r="S12">
        <f t="shared" si="1625"/>
        <v>9</v>
      </c>
      <c r="T12">
        <f t="shared" si="1621"/>
        <v>13185</v>
      </c>
    </row>
    <row r="13">
      <c r="A13">
        <v>16070</v>
      </c>
      <c r="C13">
        <f t="shared" si="1624"/>
        <v>10</v>
      </c>
      <c r="D13" t="e">
        <v>#NAME?</v>
      </c>
      <c r="E13" t="e">
        <v>#NAME?</v>
      </c>
      <c r="F13" t="e">
        <v>#NAME?</v>
      </c>
      <c r="H13" t="s">
        <v>500</v>
      </c>
      <c r="I13" s="7" t="e">
        <f>AVERAGE(E9:E28)</f>
        <v>#NAME?</v>
      </c>
      <c r="O13" s="24" t="s">
        <v>469</v>
      </c>
      <c r="P13" s="24" t="s">
        <v>470</v>
      </c>
      <c r="Q13" s="24" t="s">
        <v>484</v>
      </c>
      <c r="S13">
        <f t="shared" si="1625"/>
        <v>10</v>
      </c>
      <c r="T13">
        <f t="shared" ref="T13:T33" si="1626">A10</f>
        <v>12834</v>
      </c>
    </row>
    <row r="14">
      <c r="A14">
        <v>15704</v>
      </c>
      <c r="C14">
        <f t="shared" si="1624"/>
        <v>11</v>
      </c>
      <c r="D14" t="e">
        <v>#NAME?</v>
      </c>
      <c r="E14" t="e">
        <v>#NAME?</v>
      </c>
      <c r="F14" t="e">
        <v>#NAME?</v>
      </c>
      <c r="H14" t="s">
        <v>502</v>
      </c>
      <c r="I14" s="10" t="e">
        <f>_xlfn.STDEV.S(E9:E28)</f>
        <v>#NAME?</v>
      </c>
      <c r="O14" s="26" t="e">
        <v>#NAME?</v>
      </c>
      <c r="P14" s="26" t="e">
        <v>#NAME?</v>
      </c>
      <c r="Q14" s="26" t="e">
        <v>#NAME?</v>
      </c>
      <c r="S14">
        <f t="shared" si="1625"/>
        <v>11</v>
      </c>
      <c r="T14">
        <f t="shared" si="1626"/>
        <v>13806</v>
      </c>
    </row>
    <row r="15">
      <c r="A15">
        <v>17092</v>
      </c>
      <c r="C15">
        <f t="shared" si="1624"/>
        <v>12</v>
      </c>
      <c r="D15" t="e">
        <v>#NAME?</v>
      </c>
      <c r="E15" t="e">
        <v>#NAME?</v>
      </c>
      <c r="F15" t="e">
        <v>#NAME?</v>
      </c>
      <c r="H15" t="s">
        <v>503</v>
      </c>
      <c r="I15" s="10" t="e">
        <f>I10/I18</f>
        <v>#NAME?</v>
      </c>
      <c r="S15">
        <f t="shared" si="1625"/>
        <v>12</v>
      </c>
      <c r="T15">
        <f t="shared" si="1626"/>
        <v>21268</v>
      </c>
    </row>
    <row r="16">
      <c r="A16">
        <v>25586</v>
      </c>
      <c r="C16">
        <f t="shared" si="1624"/>
        <v>13</v>
      </c>
      <c r="D16" t="e">
        <v>#NAME?</v>
      </c>
      <c r="E16" t="e">
        <v>#NAME?</v>
      </c>
      <c r="F16" t="e">
        <v>#NAME?</v>
      </c>
      <c r="H16" t="s">
        <v>504</v>
      </c>
      <c r="I16" s="10" t="e">
        <f>AVERAGE(D9:D28)</f>
        <v>#NAME?</v>
      </c>
      <c r="O16" t="s">
        <v>603</v>
      </c>
      <c r="S16">
        <f t="shared" si="1625"/>
        <v>13</v>
      </c>
      <c r="T16">
        <f t="shared" si="1626"/>
        <v>16070</v>
      </c>
    </row>
    <row r="17">
      <c r="A17">
        <v>19741</v>
      </c>
      <c r="C17">
        <f t="shared" si="1624"/>
        <v>14</v>
      </c>
      <c r="D17" t="e">
        <v>#NAME?</v>
      </c>
      <c r="E17" t="e">
        <v>#NAME?</v>
      </c>
      <c r="F17" t="e">
        <v>#NAME?</v>
      </c>
      <c r="H17" t="s">
        <v>505</v>
      </c>
      <c r="I17" s="10" t="e">
        <f>_xlfn.STDEV.S(D9:D28)</f>
        <v>#NAME?</v>
      </c>
      <c r="S17">
        <f t="shared" si="1625"/>
        <v>14</v>
      </c>
      <c r="T17">
        <f t="shared" si="1626"/>
        <v>15704</v>
      </c>
    </row>
    <row r="18">
      <c r="A18">
        <v>19340</v>
      </c>
      <c r="C18">
        <f t="shared" si="1624"/>
        <v>15</v>
      </c>
      <c r="D18" t="e">
        <v>#NAME?</v>
      </c>
      <c r="E18" t="e">
        <v>#NAME?</v>
      </c>
      <c r="F18" t="e">
        <v>#NAME?</v>
      </c>
      <c r="H18" t="s">
        <v>506</v>
      </c>
      <c r="I18" s="13">
        <f>COUNT(D9:D28)</f>
        <v>0</v>
      </c>
      <c r="O18" s="24" t="s">
        <v>469</v>
      </c>
      <c r="P18" s="24" t="s">
        <v>470</v>
      </c>
      <c r="Q18" s="24" t="s">
        <v>484</v>
      </c>
      <c r="S18">
        <f t="shared" si="1625"/>
        <v>15</v>
      </c>
      <c r="T18">
        <f t="shared" si="1626"/>
        <v>17092</v>
      </c>
    </row>
    <row r="19">
      <c r="A19">
        <v>20579</v>
      </c>
      <c r="C19">
        <f t="shared" si="1624"/>
        <v>16</v>
      </c>
      <c r="D19" t="e">
        <v>#NAME?</v>
      </c>
      <c r="E19" t="e">
        <v>#NAME?</v>
      </c>
      <c r="F19" t="e">
        <v>#NAME?</v>
      </c>
      <c r="O19" s="26" t="e">
        <v>#NAME?</v>
      </c>
      <c r="P19" s="26" t="e">
        <v>#NAME?</v>
      </c>
      <c r="Q19" s="26" t="e">
        <v>#NAME?</v>
      </c>
      <c r="S19">
        <f t="shared" si="1625"/>
        <v>16</v>
      </c>
      <c r="T19">
        <f t="shared" si="1626"/>
        <v>25586</v>
      </c>
    </row>
    <row r="20">
      <c r="A20">
        <v>29328</v>
      </c>
      <c r="C20">
        <f t="shared" si="1624"/>
        <v>17</v>
      </c>
      <c r="D20" t="e">
        <v>#NAME?</v>
      </c>
      <c r="E20" t="e">
        <v>#NAME?</v>
      </c>
      <c r="F20" t="e">
        <v>#NAME?</v>
      </c>
      <c r="H20" t="s">
        <v>507</v>
      </c>
      <c r="I20" s="7" t="e">
        <f>-(I23-2*(I4+J4+I5+J5+1))/2</f>
        <v>#NAME?</v>
      </c>
      <c r="S20">
        <f t="shared" si="1625"/>
        <v>17</v>
      </c>
      <c r="T20">
        <f t="shared" si="1626"/>
        <v>19741</v>
      </c>
    </row>
    <row r="21">
      <c r="A21">
        <v>22717</v>
      </c>
      <c r="C21">
        <f t="shared" si="1624"/>
        <v>18</v>
      </c>
      <c r="D21" t="e">
        <v>#NAME?</v>
      </c>
      <c r="E21" t="e">
        <v>#NAME?</v>
      </c>
      <c r="F21" t="e">
        <v>#NAME?</v>
      </c>
      <c r="H21" t="s">
        <v>374</v>
      </c>
      <c r="I21" s="10" t="e">
        <f>I18*LN(I10/I18)+2*(I4+J4+I5+J5+1)</f>
        <v>#NAME?</v>
      </c>
      <c r="S21">
        <f t="shared" si="1625"/>
        <v>18</v>
      </c>
      <c r="T21">
        <f t="shared" si="1626"/>
        <v>19340</v>
      </c>
    </row>
    <row r="22">
      <c r="A22">
        <v>23185</v>
      </c>
      <c r="C22">
        <f t="shared" si="1624"/>
        <v>19</v>
      </c>
      <c r="D22" t="e">
        <v>#NAME?</v>
      </c>
      <c r="E22" t="e">
        <v>#NAME?</v>
      </c>
      <c r="F22" t="e">
        <v>#NAME?</v>
      </c>
      <c r="H22" t="s">
        <v>508</v>
      </c>
      <c r="I22" s="10" t="e">
        <f>I18*LN(I10/I18)+LN(I18)*(I4+J4+I5+J5+1)</f>
        <v>#NAME?</v>
      </c>
      <c r="S22">
        <f t="shared" si="1625"/>
        <v>19</v>
      </c>
      <c r="T22">
        <f t="shared" si="1626"/>
        <v>20579</v>
      </c>
    </row>
    <row r="23">
      <c r="A23">
        <v>25358</v>
      </c>
      <c r="C23">
        <f t="shared" si="1624"/>
        <v>20</v>
      </c>
      <c r="D23" t="e">
        <v>#NAME?</v>
      </c>
      <c r="E23" t="e">
        <v>#NAME?</v>
      </c>
      <c r="F23" t="e">
        <v>#NAME?</v>
      </c>
      <c r="H23" t="s">
        <v>509</v>
      </c>
      <c r="I23" s="10" t="e">
        <f>I18*(1+LN(2*PI()))+I21</f>
        <v>#NAME?</v>
      </c>
      <c r="S23">
        <f t="shared" si="1625"/>
        <v>20</v>
      </c>
      <c r="T23">
        <f t="shared" si="1626"/>
        <v>29328</v>
      </c>
    </row>
    <row r="24">
      <c r="A24">
        <v>35746</v>
      </c>
      <c r="C24">
        <f t="shared" si="1624"/>
        <v>21</v>
      </c>
      <c r="D24" t="e">
        <v>#NAME?</v>
      </c>
      <c r="E24" t="e">
        <v>#NAME?</v>
      </c>
      <c r="F24" t="e">
        <v>#NAME?</v>
      </c>
      <c r="H24" t="s">
        <v>510</v>
      </c>
      <c r="I24" s="13" t="e">
        <f>I18*(1+LN(2*PI()))+I22</f>
        <v>#NAME?</v>
      </c>
      <c r="S24">
        <f t="shared" si="1625"/>
        <v>21</v>
      </c>
      <c r="T24">
        <f t="shared" si="1626"/>
        <v>22717</v>
      </c>
    </row>
    <row r="25">
      <c r="A25">
        <v>29128</v>
      </c>
      <c r="C25">
        <f t="shared" si="1624"/>
        <v>22</v>
      </c>
      <c r="D25" t="e">
        <v>#NAME?</v>
      </c>
      <c r="E25" t="e">
        <v>#NAME?</v>
      </c>
      <c r="F25" t="e">
        <v>#NAME?</v>
      </c>
      <c r="S25">
        <f t="shared" si="1625"/>
        <v>22</v>
      </c>
      <c r="T25">
        <f t="shared" si="1626"/>
        <v>23185</v>
      </c>
    </row>
    <row r="26">
      <c r="A26">
        <v>30404</v>
      </c>
      <c r="C26">
        <f t="shared" si="1624"/>
        <v>23</v>
      </c>
      <c r="D26" t="e">
        <v>#NAME?</v>
      </c>
      <c r="E26" t="e">
        <v>#NAME?</v>
      </c>
      <c r="F26" t="e">
        <v>#NAME?</v>
      </c>
      <c r="S26">
        <f t="shared" si="1625"/>
        <v>23</v>
      </c>
      <c r="T26">
        <f t="shared" si="1626"/>
        <v>25358</v>
      </c>
    </row>
    <row r="27">
      <c r="A27">
        <v>32714</v>
      </c>
      <c r="C27">
        <f t="shared" si="1624"/>
        <v>24</v>
      </c>
      <c r="D27" t="e">
        <v>#NAME?</v>
      </c>
      <c r="E27" t="e">
        <v>#NAME?</v>
      </c>
      <c r="F27" t="e">
        <v>#NAME?</v>
      </c>
      <c r="H27" t="e">
        <v>#NAME?</v>
      </c>
      <c r="I27" s="15" t="e">
        <v>#NAME?</v>
      </c>
      <c r="J27" s="15" t="e">
        <v>#NAME?</v>
      </c>
      <c r="K27" s="15" t="e">
        <v>#NAME?</v>
      </c>
      <c r="L27" s="15" t="e">
        <v>#NAME?</v>
      </c>
      <c r="S27">
        <f t="shared" si="1625"/>
        <v>24</v>
      </c>
      <c r="T27">
        <f t="shared" si="1626"/>
        <v>35746</v>
      </c>
    </row>
    <row r="28">
      <c r="A28">
        <v>43741</v>
      </c>
      <c r="C28" s="14">
        <f t="shared" si="1624"/>
        <v>25</v>
      </c>
      <c r="D28" s="14" t="e">
        <v>#NAME?</v>
      </c>
      <c r="E28" s="14" t="e">
        <v>#NAME?</v>
      </c>
      <c r="F28" s="14" t="e">
        <v>#NAME?</v>
      </c>
      <c r="H28" t="e">
        <v>#NAME?</v>
      </c>
      <c r="I28" s="5" t="e">
        <v>#NAME?</v>
      </c>
      <c r="J28" s="42" t="e">
        <v>#NAME?</v>
      </c>
      <c r="K28" s="42" t="e">
        <v>#NAME?</v>
      </c>
      <c r="L28" s="6" t="e">
        <v>#NAME?</v>
      </c>
      <c r="S28">
        <f t="shared" si="1625"/>
        <v>25</v>
      </c>
      <c r="T28">
        <f t="shared" si="1626"/>
        <v>29128</v>
      </c>
    </row>
    <row r="29">
      <c r="A29">
        <v>35714</v>
      </c>
      <c r="C29">
        <f t="shared" si="1624"/>
        <v>26</v>
      </c>
      <c r="F29" t="e">
        <v>#NAME?</v>
      </c>
      <c r="H29" t="e">
        <v>#NAME?</v>
      </c>
      <c r="I29" s="8" t="e">
        <v>#NAME?</v>
      </c>
      <c r="J29" t="e">
        <v>#NAME?</v>
      </c>
      <c r="K29" t="e">
        <v>#NAME?</v>
      </c>
      <c r="L29" s="9" t="e">
        <v>#NAME?</v>
      </c>
      <c r="S29">
        <f t="shared" si="1625"/>
        <v>26</v>
      </c>
      <c r="T29">
        <f t="shared" si="1626"/>
        <v>30404</v>
      </c>
    </row>
    <row r="30">
      <c r="A30">
        <v>37955</v>
      </c>
      <c r="C30">
        <f t="shared" si="1624"/>
        <v>27</v>
      </c>
      <c r="F30" t="e">
        <v>#NAME?</v>
      </c>
      <c r="H30" t="e">
        <v>#NAME?</v>
      </c>
      <c r="I30" s="8" t="e">
        <v>#NAME?</v>
      </c>
      <c r="J30" t="e">
        <v>#NAME?</v>
      </c>
      <c r="K30" t="e">
        <v>#NAME?</v>
      </c>
      <c r="L30" s="9" t="e">
        <v>#NAME?</v>
      </c>
      <c r="S30">
        <f t="shared" si="1625"/>
        <v>27</v>
      </c>
      <c r="T30">
        <f t="shared" si="1626"/>
        <v>32714</v>
      </c>
    </row>
    <row r="31">
      <c r="A31" s="31" t="s">
        <v>604</v>
      </c>
      <c r="C31">
        <f t="shared" si="1624"/>
        <v>28</v>
      </c>
      <c r="F31" t="e">
        <v>#NAME?</v>
      </c>
      <c r="H31" t="e">
        <v>#NAME?</v>
      </c>
      <c r="I31" s="8" t="e">
        <v>#NAME?</v>
      </c>
      <c r="J31" t="e">
        <v>#NAME?</v>
      </c>
      <c r="K31" t="e">
        <v>#NAME?</v>
      </c>
      <c r="L31" s="9" t="e">
        <v>#NAME?</v>
      </c>
      <c r="S31">
        <f t="shared" si="1625"/>
        <v>28</v>
      </c>
      <c r="T31">
        <f t="shared" si="1626"/>
        <v>43741</v>
      </c>
    </row>
    <row r="32">
      <c r="A32" s="31" t="s">
        <v>604</v>
      </c>
      <c r="C32" s="14">
        <f t="shared" si="1624"/>
        <v>29</v>
      </c>
      <c r="D32" s="14"/>
      <c r="E32" s="14"/>
      <c r="F32" s="14" t="e">
        <v>#NAME?</v>
      </c>
      <c r="H32" t="e">
        <v>#NAME?</v>
      </c>
      <c r="I32" s="11" t="e">
        <v>#NAME?</v>
      </c>
      <c r="J32" s="14" t="e">
        <v>#NAME?</v>
      </c>
      <c r="K32" s="14" t="e">
        <v>#NAME?</v>
      </c>
      <c r="L32" s="12" t="e">
        <v>#NAME?</v>
      </c>
      <c r="S32">
        <f t="shared" si="1625"/>
        <v>29</v>
      </c>
      <c r="T32">
        <f t="shared" si="1626"/>
        <v>35714</v>
      </c>
    </row>
    <row r="33">
      <c r="A33" s="31" t="s">
        <v>604</v>
      </c>
      <c r="S33" s="14">
        <f t="shared" si="1625"/>
        <v>30</v>
      </c>
      <c r="T33" s="14">
        <f t="shared" si="1626"/>
        <v>37955</v>
      </c>
    </row>
    <row r="34">
      <c r="A34" s="31" t="s">
        <v>604</v>
      </c>
      <c r="S34">
        <f t="shared" si="1625"/>
        <v>31</v>
      </c>
      <c r="T34" t="e">
        <v>#NAME?</v>
      </c>
    </row>
    <row r="35">
      <c r="S35">
        <f t="shared" si="1625"/>
        <v>32</v>
      </c>
      <c r="T35" t="e">
        <v>#NAME?</v>
      </c>
    </row>
    <row r="36">
      <c r="S36">
        <f t="shared" si="1625"/>
        <v>33</v>
      </c>
      <c r="T36" t="e">
        <v>#NAME?</v>
      </c>
    </row>
    <row r="37">
      <c r="S37" s="14">
        <f t="shared" si="1625"/>
        <v>34</v>
      </c>
      <c r="T37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9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D4" activeCellId="0" sqref="D4"/>
    </sheetView>
  </sheetViews>
  <sheetFormatPr defaultRowHeight="14.25"/>
  <cols>
    <col customWidth="1" min="1" max="1" width="7.5446429999999998"/>
    <col customWidth="1" min="2" max="2" width="4"/>
    <col customWidth="1" min="3" max="3" width="5.2678570000000002"/>
    <col customWidth="1" min="4" max="15" width="4.2678570000000002"/>
    <col customWidth="1" min="16" max="16" width="6.1785709999999998"/>
    <col customWidth="1" min="17" max="18" width="9.1785709999999998"/>
    <col customWidth="1" min="19" max="19" width="3.2678569999999998"/>
    <col customWidth="1" min="20" max="20" width="37.267856999999999"/>
    <col customWidth="1" min="21" max="21" width="6.1785709999999998"/>
    <col customWidth="1" min="24" max="24" width="9.1785709999999998"/>
  </cols>
  <sheetData>
    <row r="1">
      <c r="A1" s="1" t="s">
        <v>154</v>
      </c>
    </row>
    <row r="3">
      <c r="A3" s="4" t="s">
        <v>173</v>
      </c>
      <c r="D3" s="74">
        <f t="array" ref="D3:O3">TRANSPOSE(C4:C15)</f>
        <v>6.7999999999999998</v>
      </c>
      <c r="E3" s="74">
        <f/>
        <v>5.9000000000000004</v>
      </c>
      <c r="F3" s="74">
        <f/>
        <v>5.7000000000000002</v>
      </c>
      <c r="G3" s="74">
        <f/>
        <v>5.5</v>
      </c>
      <c r="H3" s="74">
        <f/>
        <v>5.5</v>
      </c>
      <c r="I3" s="74">
        <f/>
        <v>4.5</v>
      </c>
      <c r="J3" s="74">
        <f/>
        <v>4</v>
      </c>
      <c r="K3" s="74">
        <f/>
        <v>5.0999999999999996</v>
      </c>
      <c r="L3" s="74">
        <f/>
        <v>4.5</v>
      </c>
      <c r="M3" s="74">
        <f/>
        <v>4.5</v>
      </c>
      <c r="N3" s="74">
        <f/>
        <v>3.2999999999999998</v>
      </c>
      <c r="O3" s="74">
        <f/>
        <v>4.7999999999999998</v>
      </c>
    </row>
    <row r="4">
      <c r="A4" s="75">
        <v>6.7999999999999998</v>
      </c>
      <c r="C4" s="75">
        <f t="shared" ref="C4:C9" si="1627">A4</f>
        <v>6.7999999999999998</v>
      </c>
      <c r="D4" s="5" t="str">
        <f t="shared" ref="D4:D9" si="1628">IF(ROW(D4)-ROW(D$4)&gt;COLUMN(D4)-COLUMN($D4),SIGN($C4-D$3),"")</f>
        <v/>
      </c>
      <c r="E4" s="42" t="str">
        <f t="shared" ref="E4:E9" si="1629">IF(ROW(E4)-ROW(E$4)&gt;COLUMN(E4)-COLUMN($D4),SIGN($C4-E$3),"")</f>
        <v/>
      </c>
      <c r="F4" s="42" t="str">
        <f t="shared" ref="F4:F9" si="1630">IF(ROW(F4)-ROW(F$4)&gt;COLUMN(F4)-COLUMN($D4),SIGN($C4-F$3),"")</f>
        <v/>
      </c>
      <c r="G4" s="42" t="str">
        <f t="shared" ref="G4:G9" si="1631">IF(ROW(G4)-ROW(G$4)&gt;COLUMN(G4)-COLUMN($D4),SIGN($C4-G$3),"")</f>
        <v/>
      </c>
      <c r="H4" s="42" t="str">
        <f t="shared" ref="H4:H9" si="1632">IF(ROW(H4)-ROW(H$4)&gt;COLUMN(H4)-COLUMN($D4),SIGN($C4-H$3),"")</f>
        <v/>
      </c>
      <c r="I4" s="42" t="str">
        <f t="shared" ref="I4:I9" si="1633">IF(ROW(I4)-ROW(I$4)&gt;COLUMN(I4)-COLUMN($D4),SIGN($C4-I$3),"")</f>
        <v/>
      </c>
      <c r="J4" s="42" t="str">
        <f t="shared" ref="J4:J9" si="1634">IF(ROW(J4)-ROW(J$4)&gt;COLUMN(J4)-COLUMN($D4),SIGN($C4-J$3),"")</f>
        <v/>
      </c>
      <c r="K4" s="42" t="str">
        <f t="shared" ref="K4:K9" si="1635">IF(ROW(K4)-ROW(K$4)&gt;COLUMN(K4)-COLUMN($D4),SIGN($C4-K$3),"")</f>
        <v/>
      </c>
      <c r="L4" s="42" t="str">
        <f t="shared" ref="L4:L9" si="1636">IF(ROW(L4)-ROW(L$4)&gt;COLUMN(L4)-COLUMN($D4),SIGN($C4-L$3),"")</f>
        <v/>
      </c>
      <c r="M4" s="42" t="str">
        <f t="shared" ref="M4:M9" si="1637">IF(ROW(M4)-ROW(M$4)&gt;COLUMN(M4)-COLUMN($D4),SIGN($C4-M$3),"")</f>
        <v/>
      </c>
      <c r="N4" s="42" t="str">
        <f t="shared" ref="N4:N9" si="1638">IF(ROW(N4)-ROW(N$4)&gt;COLUMN(N4)-COLUMN($D4),SIGN($C4-N$3),"")</f>
        <v/>
      </c>
      <c r="O4" s="6" t="str">
        <f t="shared" ref="O4:O9" si="1639">IF(ROW(O4)-ROW(O$4)&gt;COLUMN(O4)-COLUMN($D4),SIGN($C4-O$3),"")</f>
        <v/>
      </c>
      <c r="Q4" t="s">
        <v>176</v>
      </c>
      <c r="R4" s="7">
        <f>COUNT(C4:C15)</f>
        <v>12</v>
      </c>
      <c r="T4" t="e">
        <v>#NAME?</v>
      </c>
      <c r="V4" t="e">
        <v>#NAME?</v>
      </c>
      <c r="W4" s="7" t="e">
        <v>#NAME?</v>
      </c>
    </row>
    <row r="5">
      <c r="A5" s="75">
        <v>5.9000000000000004</v>
      </c>
      <c r="C5" s="75">
        <f t="shared" si="1627"/>
        <v>5.9000000000000004</v>
      </c>
      <c r="D5" s="8">
        <f t="shared" si="1628"/>
        <v>-1</v>
      </c>
      <c r="E5" t="str">
        <f t="shared" si="1629"/>
        <v/>
      </c>
      <c r="F5" t="str">
        <f t="shared" si="1630"/>
        <v/>
      </c>
      <c r="G5" t="str">
        <f t="shared" si="1631"/>
        <v/>
      </c>
      <c r="H5" t="str">
        <f t="shared" si="1632"/>
        <v/>
      </c>
      <c r="I5" t="str">
        <f t="shared" si="1633"/>
        <v/>
      </c>
      <c r="J5" t="str">
        <f t="shared" si="1634"/>
        <v/>
      </c>
      <c r="K5" t="str">
        <f t="shared" si="1635"/>
        <v/>
      </c>
      <c r="L5" t="str">
        <f t="shared" si="1636"/>
        <v/>
      </c>
      <c r="M5" t="str">
        <f t="shared" si="1637"/>
        <v/>
      </c>
      <c r="N5" t="str">
        <f t="shared" si="1638"/>
        <v/>
      </c>
      <c r="O5" s="9" t="str">
        <f t="shared" si="1639"/>
        <v/>
      </c>
      <c r="Q5" t="s">
        <v>203</v>
      </c>
      <c r="R5" s="13">
        <v>5.0000000000000003e-02</v>
      </c>
      <c r="V5" t="e">
        <v>#NAME?</v>
      </c>
      <c r="W5" s="10" t="e">
        <v>#NAME?</v>
      </c>
    </row>
    <row r="6">
      <c r="A6" s="75">
        <v>5.7000000000000002</v>
      </c>
      <c r="C6" s="75">
        <f t="shared" si="1627"/>
        <v>5.7000000000000002</v>
      </c>
      <c r="D6" s="8">
        <f t="shared" si="1628"/>
        <v>-1</v>
      </c>
      <c r="E6">
        <f t="shared" si="1629"/>
        <v>-1</v>
      </c>
      <c r="F6" t="str">
        <f t="shared" si="1630"/>
        <v/>
      </c>
      <c r="G6" t="str">
        <f t="shared" si="1631"/>
        <v/>
      </c>
      <c r="H6" t="str">
        <f t="shared" si="1632"/>
        <v/>
      </c>
      <c r="I6" t="str">
        <f t="shared" si="1633"/>
        <v/>
      </c>
      <c r="J6" t="str">
        <f t="shared" si="1634"/>
        <v/>
      </c>
      <c r="K6" t="str">
        <f t="shared" si="1635"/>
        <v/>
      </c>
      <c r="L6" t="str">
        <f t="shared" si="1636"/>
        <v/>
      </c>
      <c r="M6" t="str">
        <f t="shared" si="1637"/>
        <v/>
      </c>
      <c r="N6" t="str">
        <f t="shared" si="1638"/>
        <v/>
      </c>
      <c r="O6" s="9" t="str">
        <f t="shared" si="1639"/>
        <v/>
      </c>
      <c r="V6" t="e">
        <v>#NAME?</v>
      </c>
      <c r="W6" s="10" t="e">
        <v>#NAME?</v>
      </c>
    </row>
    <row r="7">
      <c r="A7" s="75">
        <v>5.5</v>
      </c>
      <c r="C7" s="75">
        <f t="shared" si="1627"/>
        <v>5.5</v>
      </c>
      <c r="D7" s="8">
        <f t="shared" si="1628"/>
        <v>-1</v>
      </c>
      <c r="E7">
        <f t="shared" si="1629"/>
        <v>-1</v>
      </c>
      <c r="F7">
        <f t="shared" si="1630"/>
        <v>-1</v>
      </c>
      <c r="G7" t="str">
        <f t="shared" si="1631"/>
        <v/>
      </c>
      <c r="H7" t="str">
        <f t="shared" si="1632"/>
        <v/>
      </c>
      <c r="I7" t="str">
        <f t="shared" si="1633"/>
        <v/>
      </c>
      <c r="J7" t="str">
        <f t="shared" si="1634"/>
        <v/>
      </c>
      <c r="K7" t="str">
        <f t="shared" si="1635"/>
        <v/>
      </c>
      <c r="L7" t="str">
        <f t="shared" si="1636"/>
        <v/>
      </c>
      <c r="M7" t="str">
        <f t="shared" si="1637"/>
        <v/>
      </c>
      <c r="N7" t="str">
        <f t="shared" si="1638"/>
        <v/>
      </c>
      <c r="O7" s="9" t="str">
        <f t="shared" si="1639"/>
        <v/>
      </c>
      <c r="Q7" t="s">
        <v>605</v>
      </c>
      <c r="R7" s="7">
        <f>SUM(D4:O15)</f>
        <v>-44</v>
      </c>
      <c r="T7" t="e">
        <v>#NAME?</v>
      </c>
      <c r="V7" t="e">
        <v>#NAME?</v>
      </c>
      <c r="W7" s="10" t="e">
        <v>#NAME?</v>
      </c>
    </row>
    <row r="8">
      <c r="A8" s="75">
        <v>5.5</v>
      </c>
      <c r="C8" s="75">
        <f t="shared" si="1627"/>
        <v>5.5</v>
      </c>
      <c r="D8" s="8">
        <f t="shared" si="1628"/>
        <v>-1</v>
      </c>
      <c r="E8">
        <f t="shared" si="1629"/>
        <v>-1</v>
      </c>
      <c r="F8">
        <f t="shared" si="1630"/>
        <v>-1</v>
      </c>
      <c r="G8">
        <f t="shared" si="1631"/>
        <v>0</v>
      </c>
      <c r="H8" t="str">
        <f t="shared" si="1632"/>
        <v/>
      </c>
      <c r="I8" t="str">
        <f t="shared" si="1633"/>
        <v/>
      </c>
      <c r="J8" t="str">
        <f t="shared" si="1634"/>
        <v/>
      </c>
      <c r="K8" t="str">
        <f t="shared" si="1635"/>
        <v/>
      </c>
      <c r="L8" t="str">
        <f t="shared" si="1636"/>
        <v/>
      </c>
      <c r="M8" t="str">
        <f t="shared" si="1637"/>
        <v/>
      </c>
      <c r="N8" t="str">
        <f t="shared" si="1638"/>
        <v/>
      </c>
      <c r="O8" s="9" t="str">
        <f t="shared" si="1639"/>
        <v/>
      </c>
      <c r="Q8" t="s">
        <v>183</v>
      </c>
      <c r="R8" s="10">
        <f>SQRT((R4*(R4-1)*(2*R4+5)-P19)/18)</f>
        <v>14.422205101855999</v>
      </c>
      <c r="T8" t="e">
        <v>#NAME?</v>
      </c>
      <c r="V8" t="e">
        <v>#NAME?</v>
      </c>
      <c r="W8" s="21" t="e">
        <v>#NAME?</v>
      </c>
    </row>
    <row r="9">
      <c r="A9" s="75">
        <v>4.5</v>
      </c>
      <c r="C9" s="75">
        <f t="shared" si="1627"/>
        <v>4.5</v>
      </c>
      <c r="D9" s="8">
        <f t="shared" si="1628"/>
        <v>-1</v>
      </c>
      <c r="E9">
        <f t="shared" si="1629"/>
        <v>-1</v>
      </c>
      <c r="F9">
        <f t="shared" si="1630"/>
        <v>-1</v>
      </c>
      <c r="G9">
        <f t="shared" si="1631"/>
        <v>-1</v>
      </c>
      <c r="H9">
        <f t="shared" si="1632"/>
        <v>-1</v>
      </c>
      <c r="I9" t="str">
        <f t="shared" si="1633"/>
        <v/>
      </c>
      <c r="J9" t="str">
        <f t="shared" si="1634"/>
        <v/>
      </c>
      <c r="K9" t="str">
        <f t="shared" si="1635"/>
        <v/>
      </c>
      <c r="L9" t="str">
        <f t="shared" si="1636"/>
        <v/>
      </c>
      <c r="M9" t="str">
        <f t="shared" si="1637"/>
        <v/>
      </c>
      <c r="N9" t="str">
        <f t="shared" si="1638"/>
        <v/>
      </c>
      <c r="O9" s="9" t="str">
        <f t="shared" si="1639"/>
        <v/>
      </c>
      <c r="Q9" t="s">
        <v>606</v>
      </c>
      <c r="R9" s="10">
        <f>IF(R7&gt;0,(R7-1)/R8,IF(R7&lt;0,(R7+1)/R8,0))</f>
        <v>-2.9815135547106002</v>
      </c>
      <c r="T9" t="e">
        <v>#NAME?</v>
      </c>
    </row>
    <row r="10">
      <c r="A10" s="75">
        <v>4</v>
      </c>
      <c r="C10" s="75">
        <f t="shared" ref="C10:C15" si="1640">A10</f>
        <v>4</v>
      </c>
      <c r="D10" s="8">
        <f t="shared" ref="D10:D15" si="1641">IF(ROW(D10)-ROW(D$4)&gt;COLUMN(D10)-COLUMN($D10),SIGN($C10-D$3),"")</f>
        <v>-1</v>
      </c>
      <c r="E10">
        <f t="shared" ref="E10:E15" si="1642">IF(ROW(E10)-ROW(E$4)&gt;COLUMN(E10)-COLUMN($D10),SIGN($C10-E$3),"")</f>
        <v>-1</v>
      </c>
      <c r="F10">
        <f t="shared" ref="F10:F15" si="1643">IF(ROW(F10)-ROW(F$4)&gt;COLUMN(F10)-COLUMN($D10),SIGN($C10-F$3),"")</f>
        <v>-1</v>
      </c>
      <c r="G10">
        <f t="shared" ref="G10:G15" si="1644">IF(ROW(G10)-ROW(G$4)&gt;COLUMN(G10)-COLUMN($D10),SIGN($C10-G$3),"")</f>
        <v>-1</v>
      </c>
      <c r="H10">
        <f t="shared" ref="H10:H15" si="1645">IF(ROW(H10)-ROW(H$4)&gt;COLUMN(H10)-COLUMN($D10),SIGN($C10-H$3),"")</f>
        <v>-1</v>
      </c>
      <c r="I10">
        <f t="shared" ref="I10:I15" si="1646">IF(ROW(I10)-ROW(I$4)&gt;COLUMN(I10)-COLUMN($D10),SIGN($C10-I$3),"")</f>
        <v>-1</v>
      </c>
      <c r="J10" t="str">
        <f t="shared" ref="J10:J15" si="1647">IF(ROW(J10)-ROW(J$4)&gt;COLUMN(J10)-COLUMN($D10),SIGN($C10-J$3),"")</f>
        <v/>
      </c>
      <c r="K10" t="str">
        <f t="shared" ref="K10:K15" si="1648">IF(ROW(K10)-ROW(K$4)&gt;COLUMN(K10)-COLUMN($D10),SIGN($C10-K$3),"")</f>
        <v/>
      </c>
      <c r="L10" t="str">
        <f t="shared" ref="L10:L15" si="1649">IF(ROW(L10)-ROW(L$4)&gt;COLUMN(L10)-COLUMN($D10),SIGN($C10-L$3),"")</f>
        <v/>
      </c>
      <c r="M10" t="str">
        <f t="shared" ref="M10:M15" si="1650">IF(ROW(M10)-ROW(M$4)&gt;COLUMN(M10)-COLUMN($D10),SIGN($C10-M$3),"")</f>
        <v/>
      </c>
      <c r="N10" t="str">
        <f t="shared" ref="N10:N15" si="1651">IF(ROW(N10)-ROW(N$4)&gt;COLUMN(N10)-COLUMN($D10),SIGN($C10-N$3),"")</f>
        <v/>
      </c>
      <c r="O10" s="9" t="str">
        <f t="shared" ref="O10:O15" si="1652">IF(ROW(O10)-ROW(O$4)&gt;COLUMN(O10)-COLUMN($D10),SIGN($C10-O$3),"")</f>
        <v/>
      </c>
      <c r="Q10" t="s">
        <v>189</v>
      </c>
      <c r="R10" s="10">
        <f>2*NORMSDIST(-ABS(R9))</f>
        <v>2.8682734900660001e-03</v>
      </c>
      <c r="T10" s="20" t="s">
        <v>607</v>
      </c>
      <c r="V10" t="e">
        <v>#NAME?</v>
      </c>
    </row>
    <row r="11">
      <c r="A11" s="75">
        <v>5.1000000000000005</v>
      </c>
      <c r="C11" s="75">
        <f t="shared" si="1640"/>
        <v>5.0999999999999996</v>
      </c>
      <c r="D11" s="8">
        <f t="shared" si="1641"/>
        <v>-1</v>
      </c>
      <c r="E11">
        <f t="shared" si="1642"/>
        <v>-1</v>
      </c>
      <c r="F11">
        <f t="shared" si="1643"/>
        <v>-1</v>
      </c>
      <c r="G11">
        <f t="shared" si="1644"/>
        <v>-1</v>
      </c>
      <c r="H11">
        <f t="shared" si="1645"/>
        <v>-1</v>
      </c>
      <c r="I11">
        <f t="shared" si="1646"/>
        <v>1</v>
      </c>
      <c r="J11">
        <f t="shared" si="1647"/>
        <v>1</v>
      </c>
      <c r="K11" t="str">
        <f t="shared" si="1648"/>
        <v/>
      </c>
      <c r="L11" t="str">
        <f t="shared" si="1649"/>
        <v/>
      </c>
      <c r="M11" t="str">
        <f t="shared" si="1650"/>
        <v/>
      </c>
      <c r="N11" t="str">
        <f t="shared" si="1651"/>
        <v/>
      </c>
      <c r="O11" s="9" t="str">
        <f t="shared" si="1652"/>
        <v/>
      </c>
      <c r="Q11" t="s">
        <v>364</v>
      </c>
      <c r="R11" s="21" t="str">
        <f>IF(R10&lt;R5,"yes","no")</f>
        <v>yes</v>
      </c>
      <c r="T11" t="e">
        <v>#NAME?</v>
      </c>
    </row>
    <row r="12">
      <c r="A12" s="75">
        <v>4.5</v>
      </c>
      <c r="C12" s="75">
        <f t="shared" si="1640"/>
        <v>4.5</v>
      </c>
      <c r="D12" s="8">
        <f t="shared" si="1641"/>
        <v>-1</v>
      </c>
      <c r="E12">
        <f t="shared" si="1642"/>
        <v>-1</v>
      </c>
      <c r="F12">
        <f t="shared" si="1643"/>
        <v>-1</v>
      </c>
      <c r="G12">
        <f t="shared" si="1644"/>
        <v>-1</v>
      </c>
      <c r="H12">
        <f t="shared" si="1645"/>
        <v>-1</v>
      </c>
      <c r="I12">
        <f t="shared" si="1646"/>
        <v>0</v>
      </c>
      <c r="J12">
        <f t="shared" si="1647"/>
        <v>1</v>
      </c>
      <c r="K12">
        <f t="shared" si="1648"/>
        <v>-1</v>
      </c>
      <c r="L12" t="str">
        <f t="shared" si="1649"/>
        <v/>
      </c>
      <c r="M12" t="str">
        <f t="shared" si="1650"/>
        <v/>
      </c>
      <c r="N12" t="str">
        <f t="shared" si="1651"/>
        <v/>
      </c>
      <c r="O12" s="9" t="str">
        <f t="shared" si="1652"/>
        <v/>
      </c>
    </row>
    <row r="13">
      <c r="A13" s="75">
        <v>4.5</v>
      </c>
      <c r="C13" s="75">
        <f t="shared" si="1640"/>
        <v>4.5</v>
      </c>
      <c r="D13" s="8">
        <f t="shared" si="1641"/>
        <v>-1</v>
      </c>
      <c r="E13">
        <f t="shared" si="1642"/>
        <v>-1</v>
      </c>
      <c r="F13">
        <f t="shared" si="1643"/>
        <v>-1</v>
      </c>
      <c r="G13">
        <f t="shared" si="1644"/>
        <v>-1</v>
      </c>
      <c r="H13">
        <f t="shared" si="1645"/>
        <v>-1</v>
      </c>
      <c r="I13">
        <f t="shared" si="1646"/>
        <v>0</v>
      </c>
      <c r="J13">
        <f t="shared" si="1647"/>
        <v>1</v>
      </c>
      <c r="K13">
        <f t="shared" si="1648"/>
        <v>-1</v>
      </c>
      <c r="L13">
        <f t="shared" si="1649"/>
        <v>0</v>
      </c>
      <c r="M13" t="str">
        <f t="shared" si="1650"/>
        <v/>
      </c>
      <c r="N13" t="str">
        <f t="shared" si="1651"/>
        <v/>
      </c>
      <c r="O13" s="9" t="str">
        <f t="shared" si="1652"/>
        <v/>
      </c>
    </row>
    <row r="14">
      <c r="A14" s="75">
        <v>3.2999999999999998</v>
      </c>
      <c r="C14" s="75">
        <f t="shared" si="1640"/>
        <v>3.2999999999999998</v>
      </c>
      <c r="D14" s="8">
        <f t="shared" si="1641"/>
        <v>-1</v>
      </c>
      <c r="E14">
        <f t="shared" si="1642"/>
        <v>-1</v>
      </c>
      <c r="F14">
        <f t="shared" si="1643"/>
        <v>-1</v>
      </c>
      <c r="G14">
        <f t="shared" si="1644"/>
        <v>-1</v>
      </c>
      <c r="H14">
        <f t="shared" si="1645"/>
        <v>-1</v>
      </c>
      <c r="I14">
        <f t="shared" si="1646"/>
        <v>-1</v>
      </c>
      <c r="J14">
        <f t="shared" si="1647"/>
        <v>-1</v>
      </c>
      <c r="K14">
        <f t="shared" si="1648"/>
        <v>-1</v>
      </c>
      <c r="L14">
        <f t="shared" si="1649"/>
        <v>-1</v>
      </c>
      <c r="M14">
        <f t="shared" si="1650"/>
        <v>-1</v>
      </c>
      <c r="N14" t="str">
        <f t="shared" si="1651"/>
        <v/>
      </c>
      <c r="O14" s="9" t="str">
        <f t="shared" si="1652"/>
        <v/>
      </c>
    </row>
    <row r="15">
      <c r="A15" s="76">
        <v>4.7999999999999998</v>
      </c>
      <c r="C15" s="75">
        <f t="shared" si="1640"/>
        <v>4.7999999999999998</v>
      </c>
      <c r="D15" s="11">
        <f t="shared" si="1641"/>
        <v>-1</v>
      </c>
      <c r="E15" s="14">
        <f t="shared" si="1642"/>
        <v>-1</v>
      </c>
      <c r="F15" s="14">
        <f t="shared" si="1643"/>
        <v>-1</v>
      </c>
      <c r="G15" s="14">
        <f t="shared" si="1644"/>
        <v>-1</v>
      </c>
      <c r="H15" s="14">
        <f t="shared" si="1645"/>
        <v>-1</v>
      </c>
      <c r="I15" s="14">
        <f t="shared" si="1646"/>
        <v>1</v>
      </c>
      <c r="J15" s="14">
        <f t="shared" si="1647"/>
        <v>1</v>
      </c>
      <c r="K15" s="14">
        <f t="shared" si="1648"/>
        <v>-1</v>
      </c>
      <c r="L15" s="14">
        <f t="shared" si="1649"/>
        <v>1</v>
      </c>
      <c r="M15" s="14">
        <f t="shared" si="1650"/>
        <v>1</v>
      </c>
      <c r="N15" s="14">
        <f t="shared" si="1651"/>
        <v>1</v>
      </c>
      <c r="O15" s="12" t="str">
        <f t="shared" si="1652"/>
        <v/>
      </c>
    </row>
    <row r="16">
      <c r="C16" s="15"/>
    </row>
    <row r="17">
      <c r="A17" s="15"/>
      <c r="B17" s="15"/>
      <c r="C17" s="15" t="s">
        <v>608</v>
      </c>
      <c r="D17" s="5">
        <f>COUNTIF(E3:$O3,D3)</f>
        <v>0</v>
      </c>
      <c r="E17" s="42">
        <f>COUNTIF(F3:$O3,E3)</f>
        <v>0</v>
      </c>
      <c r="F17" s="42">
        <f>COUNTIF(G3:$O3,F3)</f>
        <v>0</v>
      </c>
      <c r="G17" s="42">
        <f>COUNTIF(H3:$O3,G3)</f>
        <v>1</v>
      </c>
      <c r="H17" s="42">
        <f>COUNTIF(I3:$O3,H3)</f>
        <v>0</v>
      </c>
      <c r="I17" s="42">
        <f>COUNTIF(J3:$O3,I3)</f>
        <v>2</v>
      </c>
      <c r="J17" s="42">
        <f>COUNTIF(K3:$O3,J3)</f>
        <v>0</v>
      </c>
      <c r="K17" s="42">
        <f>COUNTIF(L3:$O3,K3)</f>
        <v>0</v>
      </c>
      <c r="L17" s="42">
        <f>COUNTIF(M3:$O3,L3)</f>
        <v>1</v>
      </c>
      <c r="M17" s="42">
        <f>COUNTIF(N3:$O3,M3)</f>
        <v>0</v>
      </c>
      <c r="N17" s="6">
        <f>COUNTIF(O3:$O3,N3)</f>
        <v>0</v>
      </c>
    </row>
    <row r="18">
      <c r="C18" s="15" t="s">
        <v>609</v>
      </c>
      <c r="D18" s="8">
        <f>D17</f>
        <v>0</v>
      </c>
      <c r="E18">
        <f>IF(COUNTIF($D3:D3,E3)=0,E17,0)</f>
        <v>0</v>
      </c>
      <c r="F18">
        <f>IF(COUNTIF($D3:E3,F3)=0,F17,0)</f>
        <v>0</v>
      </c>
      <c r="G18">
        <f>IF(COUNTIF($D3:F3,G3)=0,G17,0)</f>
        <v>1</v>
      </c>
      <c r="H18">
        <f>IF(COUNTIF($D3:G3,H3)=0,H17,0)</f>
        <v>0</v>
      </c>
      <c r="I18">
        <f>IF(COUNTIF($D3:H3,I3)=0,I17,0)</f>
        <v>2</v>
      </c>
      <c r="J18">
        <f>IF(COUNTIF($D3:I3,J3)=0,J17,0)</f>
        <v>0</v>
      </c>
      <c r="K18">
        <f>IF(COUNTIF($D3:J3,K3)=0,K17,0)</f>
        <v>0</v>
      </c>
      <c r="L18">
        <f>IF(COUNTIF($D3:K3,L3)=0,L17,0)</f>
        <v>0</v>
      </c>
      <c r="M18">
        <f>IF(COUNTIF($D3:L3,M3)=0,M17,0)</f>
        <v>0</v>
      </c>
      <c r="N18" s="9">
        <f>IF(COUNTIF($D3:M3,N3)=0,N17,0)</f>
        <v>0</v>
      </c>
    </row>
    <row r="19">
      <c r="C19" s="15" t="s">
        <v>610</v>
      </c>
      <c r="D19" s="11">
        <f>IF(D18=0,0,D18*(D18+1)*(2*D18+7))</f>
        <v>0</v>
      </c>
      <c r="E19" s="14">
        <f>IF(E18=0,0,E18*(E18+1)*(2*E18+7))</f>
        <v>0</v>
      </c>
      <c r="F19" s="14">
        <f>IF(F18=0,0,F18*(F18+1)*(2*F18+7))</f>
        <v>0</v>
      </c>
      <c r="G19" s="14">
        <f>IF(G18=0,0,G18*(G18+1)*(2*G18+7))</f>
        <v>18</v>
      </c>
      <c r="H19" s="14">
        <f>IF(H18=0,0,H18*(H18+1)*(2*H18+7))</f>
        <v>0</v>
      </c>
      <c r="I19" s="14">
        <f>IF(I18=0,0,I18*(I18+1)*(2*I18+7))</f>
        <v>66</v>
      </c>
      <c r="J19" s="14">
        <f>IF(J18=0,0,J18*(J18+1)*(2*J18+7))</f>
        <v>0</v>
      </c>
      <c r="K19" s="14">
        <f>IF(K18=0,0,K18*(K18+1)*(2*K18+7))</f>
        <v>0</v>
      </c>
      <c r="L19" s="14">
        <f>IF(L18=0,0,L18*(L18+1)*(2*L18+7))</f>
        <v>0</v>
      </c>
      <c r="M19" s="14">
        <f>IF(M18=0,0,M18*(M18+1)*(2*M18+7))</f>
        <v>0</v>
      </c>
      <c r="N19" s="12">
        <f>IF(N18=0,0,N18*(N18+1)*(2*N18+7))</f>
        <v>0</v>
      </c>
      <c r="P19" s="16">
        <f>SUM(D19:N19)</f>
        <v>84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7.7232139999999996"/>
    <col customWidth="1" min="2" max="3" width="4.4553570000000002"/>
    <col customWidth="1" min="4" max="15" width="6.7232139999999996"/>
    <col customWidth="1" min="19" max="19" width="3.2678569999999998"/>
    <col customWidth="1" min="20" max="20" width="24"/>
  </cols>
  <sheetData>
    <row r="1">
      <c r="A1" s="1" t="s">
        <v>155</v>
      </c>
    </row>
    <row r="3">
      <c r="A3" s="4" t="s">
        <v>454</v>
      </c>
      <c r="D3" s="27">
        <f t="array" ref="D3:O3">TRANSPOSE(C4:C15)</f>
        <v>6.7999999999999998</v>
      </c>
      <c r="E3" s="27">
        <f/>
        <v>5.9000000000000004</v>
      </c>
      <c r="F3" s="27">
        <f/>
        <v>5.7000000000000002</v>
      </c>
      <c r="G3" s="27">
        <f/>
        <v>5.5</v>
      </c>
      <c r="H3" s="27">
        <f/>
        <v>5.5</v>
      </c>
      <c r="I3" s="27">
        <f/>
        <v>4.5</v>
      </c>
      <c r="J3" s="27">
        <f/>
        <v>4</v>
      </c>
      <c r="K3" s="27">
        <f/>
        <v>5.0999999999999996</v>
      </c>
      <c r="L3" s="27">
        <f/>
        <v>4.5</v>
      </c>
      <c r="M3" s="27">
        <f/>
        <v>4.5</v>
      </c>
      <c r="N3" s="27">
        <f/>
        <v>3.2999999999999998</v>
      </c>
      <c r="O3" s="27">
        <f/>
        <v>4.7999999999999998</v>
      </c>
    </row>
    <row r="4">
      <c r="A4" s="75">
        <v>6.7999999999999998</v>
      </c>
      <c r="C4" s="27">
        <f t="shared" ref="C4:C9" si="1653">A4</f>
        <v>6.7999999999999998</v>
      </c>
      <c r="D4" s="5" t="str">
        <f t="shared" ref="D4:D9" si="1654">IF(ROW(D4)-ROW(D$4)&gt;COLUMN(D4)-COLUMN($D4),($C4-D$3)/((ROW(D4)-ROW(D$4))-(COLUMN(D4)-COLUMN($D4))),"")</f>
        <v/>
      </c>
      <c r="E4" s="42" t="str">
        <f t="shared" ref="E4:E9" si="1655">IF(ROW(E4)-ROW(E$4)&gt;COLUMN(E4)-COLUMN($D4),($C4-E$3)/((ROW(E4)-ROW(E$4))-(COLUMN(E4)-COLUMN($D4))),"")</f>
        <v/>
      </c>
      <c r="F4" s="42" t="str">
        <f t="shared" ref="F4:F9" si="1656">IF(ROW(F4)-ROW(F$4)&gt;COLUMN(F4)-COLUMN($D4),($C4-F$3)/((ROW(F4)-ROW(F$4))-(COLUMN(F4)-COLUMN($D4))),"")</f>
        <v/>
      </c>
      <c r="G4" s="42" t="str">
        <f t="shared" ref="G4:G9" si="1657">IF(ROW(G4)-ROW(G$4)&gt;COLUMN(G4)-COLUMN($D4),($C4-G$3)/((ROW(G4)-ROW(G$4))-(COLUMN(G4)-COLUMN($D4))),"")</f>
        <v/>
      </c>
      <c r="H4" s="42" t="str">
        <f t="shared" ref="H4:H9" si="1658">IF(ROW(H4)-ROW(H$4)&gt;COLUMN(H4)-COLUMN($D4),($C4-H$3)/((ROW(H4)-ROW(H$4))-(COLUMN(H4)-COLUMN($D4))),"")</f>
        <v/>
      </c>
      <c r="I4" s="42" t="str">
        <f t="shared" ref="I4:I9" si="1659">IF(ROW(I4)-ROW(I$4)&gt;COLUMN(I4)-COLUMN($D4),($C4-I$3)/((ROW(I4)-ROW(I$4))-(COLUMN(I4)-COLUMN($D4))),"")</f>
        <v/>
      </c>
      <c r="J4" s="42" t="str">
        <f t="shared" ref="J4:J9" si="1660">IF(ROW(J4)-ROW(J$4)&gt;COLUMN(J4)-COLUMN($D4),($C4-J$3)/((ROW(J4)-ROW(J$4))-(COLUMN(J4)-COLUMN($D4))),"")</f>
        <v/>
      </c>
      <c r="K4" s="42" t="str">
        <f t="shared" ref="K4:K9" si="1661">IF(ROW(K4)-ROW(K$4)&gt;COLUMN(K4)-COLUMN($D4),($C4-K$3)/((ROW(K4)-ROW(K$4))-(COLUMN(K4)-COLUMN($D4))),"")</f>
        <v/>
      </c>
      <c r="L4" s="42" t="str">
        <f t="shared" ref="L4:L9" si="1662">IF(ROW(L4)-ROW(L$4)&gt;COLUMN(L4)-COLUMN($D4),($C4-L$3)/((ROW(L4)-ROW(L$4))-(COLUMN(L4)-COLUMN($D4))),"")</f>
        <v/>
      </c>
      <c r="M4" s="42" t="str">
        <f t="shared" ref="M4:M9" si="1663">IF(ROW(M4)-ROW(M$4)&gt;COLUMN(M4)-COLUMN($D4),($C4-M$3)/((ROW(M4)-ROW(M$4))-(COLUMN(M4)-COLUMN($D4))),"")</f>
        <v/>
      </c>
      <c r="N4" s="42" t="str">
        <f t="shared" ref="N4:N9" si="1664">IF(ROW(N4)-ROW(N$4)&gt;COLUMN(N4)-COLUMN($D4),($C4-N$3)/((ROW(N4)-ROW(N$4))-(COLUMN(N4)-COLUMN($D4))),"")</f>
        <v/>
      </c>
      <c r="O4" s="6" t="str">
        <f t="shared" ref="O4:O9" si="1665">IF(ROW(O4)-ROW(O$4)&gt;COLUMN(O4)-COLUMN($D4),($C4-O$3)/((ROW(O4)-ROW(O$4))-(COLUMN(O4)-COLUMN($D4))),"")</f>
        <v/>
      </c>
      <c r="Q4" t="s">
        <v>203</v>
      </c>
      <c r="R4" s="7">
        <v>5.0000000000000003e-02</v>
      </c>
      <c r="V4" t="e">
        <v>#NAME?</v>
      </c>
      <c r="W4" s="7" t="e">
        <v>#NAME?</v>
      </c>
    </row>
    <row r="5">
      <c r="A5" s="75">
        <v>5.9000000000000004</v>
      </c>
      <c r="C5" s="27">
        <f t="shared" si="1653"/>
        <v>5.9000000000000004</v>
      </c>
      <c r="D5" s="8">
        <f t="shared" si="1654"/>
        <v>-0.90000000000000002</v>
      </c>
      <c r="E5" t="str">
        <f t="shared" si="1655"/>
        <v/>
      </c>
      <c r="F5" t="str">
        <f t="shared" si="1656"/>
        <v/>
      </c>
      <c r="G5" t="str">
        <f t="shared" si="1657"/>
        <v/>
      </c>
      <c r="H5" t="str">
        <f t="shared" si="1658"/>
        <v/>
      </c>
      <c r="I5" t="str">
        <f t="shared" si="1659"/>
        <v/>
      </c>
      <c r="J5" t="str">
        <f t="shared" si="1660"/>
        <v/>
      </c>
      <c r="K5" t="str">
        <f t="shared" si="1661"/>
        <v/>
      </c>
      <c r="L5" t="str">
        <f t="shared" si="1662"/>
        <v/>
      </c>
      <c r="M5" t="str">
        <f t="shared" si="1663"/>
        <v/>
      </c>
      <c r="N5" t="str">
        <f t="shared" si="1664"/>
        <v/>
      </c>
      <c r="O5" s="9" t="str">
        <f t="shared" si="1665"/>
        <v/>
      </c>
      <c r="Q5" t="s">
        <v>611</v>
      </c>
      <c r="R5" s="10">
        <f>COUNT(D5:N15)</f>
        <v>66</v>
      </c>
      <c r="T5" t="e">
        <v>#NAME?</v>
      </c>
      <c r="V5" t="e">
        <v>#NAME?</v>
      </c>
      <c r="W5" s="10" t="e">
        <v>#NAME?</v>
      </c>
    </row>
    <row r="6">
      <c r="A6" s="75">
        <v>5.7000000000000002</v>
      </c>
      <c r="C6" s="27">
        <f t="shared" si="1653"/>
        <v>5.7000000000000002</v>
      </c>
      <c r="D6" s="8">
        <f t="shared" si="1654"/>
        <v>-0.55000000000000004</v>
      </c>
      <c r="E6">
        <f t="shared" si="1655"/>
        <v>-0.20000000000000001</v>
      </c>
      <c r="F6" t="str">
        <f t="shared" si="1656"/>
        <v/>
      </c>
      <c r="G6" t="str">
        <f t="shared" si="1657"/>
        <v/>
      </c>
      <c r="H6" t="str">
        <f t="shared" si="1658"/>
        <v/>
      </c>
      <c r="I6" t="str">
        <f t="shared" si="1659"/>
        <v/>
      </c>
      <c r="J6" t="str">
        <f t="shared" si="1660"/>
        <v/>
      </c>
      <c r="K6" t="str">
        <f t="shared" si="1661"/>
        <v/>
      </c>
      <c r="L6" t="str">
        <f t="shared" si="1662"/>
        <v/>
      </c>
      <c r="M6" t="str">
        <f t="shared" si="1663"/>
        <v/>
      </c>
      <c r="N6" t="str">
        <f t="shared" si="1664"/>
        <v/>
      </c>
      <c r="O6" s="9" t="str">
        <f t="shared" si="1665"/>
        <v/>
      </c>
      <c r="Q6" t="s">
        <v>183</v>
      </c>
      <c r="R6" s="10">
        <f>MK!R8</f>
        <v>14.422205101855999</v>
      </c>
      <c r="V6" t="e">
        <v>#NAME?</v>
      </c>
      <c r="W6" s="13" t="e">
        <v>#NAME?</v>
      </c>
    </row>
    <row r="7">
      <c r="A7" s="75">
        <v>5.5</v>
      </c>
      <c r="C7" s="27">
        <f t="shared" si="1653"/>
        <v>5.5</v>
      </c>
      <c r="D7" s="8">
        <f t="shared" si="1654"/>
        <v>-0.43333333333333302</v>
      </c>
      <c r="E7">
        <f t="shared" si="1655"/>
        <v>-0.20000000000000001</v>
      </c>
      <c r="F7">
        <f t="shared" si="1656"/>
        <v>-0.20000000000000001</v>
      </c>
      <c r="G7" t="str">
        <f t="shared" si="1657"/>
        <v/>
      </c>
      <c r="H7" t="str">
        <f t="shared" si="1658"/>
        <v/>
      </c>
      <c r="I7" t="str">
        <f t="shared" si="1659"/>
        <v/>
      </c>
      <c r="J7" t="str">
        <f t="shared" si="1660"/>
        <v/>
      </c>
      <c r="K7" t="str">
        <f t="shared" si="1661"/>
        <v/>
      </c>
      <c r="L7" t="str">
        <f t="shared" si="1662"/>
        <v/>
      </c>
      <c r="M7" t="str">
        <f t="shared" si="1663"/>
        <v/>
      </c>
      <c r="N7" t="str">
        <f t="shared" si="1664"/>
        <v/>
      </c>
      <c r="O7" s="9" t="str">
        <f t="shared" si="1665"/>
        <v/>
      </c>
      <c r="Q7" t="s">
        <v>302</v>
      </c>
      <c r="R7" s="10">
        <f>NORMSINV(1-R4/2)*R6</f>
        <v>28.267001183956399</v>
      </c>
      <c r="T7" s="20" t="s">
        <v>612</v>
      </c>
    </row>
    <row r="8">
      <c r="A8" s="75">
        <v>5.5</v>
      </c>
      <c r="C8" s="27">
        <f t="shared" si="1653"/>
        <v>5.5</v>
      </c>
      <c r="D8" s="8">
        <f t="shared" si="1654"/>
        <v>-0.32500000000000001</v>
      </c>
      <c r="E8">
        <f t="shared" si="1655"/>
        <v>-0.133333333333333</v>
      </c>
      <c r="F8">
        <f t="shared" si="1656"/>
        <v>-0.10000000000000001</v>
      </c>
      <c r="G8">
        <f t="shared" si="1657"/>
        <v>0</v>
      </c>
      <c r="H8" t="str">
        <f t="shared" si="1658"/>
        <v/>
      </c>
      <c r="I8" t="str">
        <f t="shared" si="1659"/>
        <v/>
      </c>
      <c r="J8" t="str">
        <f t="shared" si="1660"/>
        <v/>
      </c>
      <c r="K8" t="str">
        <f t="shared" si="1661"/>
        <v/>
      </c>
      <c r="L8" t="str">
        <f t="shared" si="1662"/>
        <v/>
      </c>
      <c r="M8" t="str">
        <f t="shared" si="1663"/>
        <v/>
      </c>
      <c r="N8" t="str">
        <f t="shared" si="1664"/>
        <v/>
      </c>
      <c r="O8" s="9" t="str">
        <f t="shared" si="1665"/>
        <v/>
      </c>
      <c r="Q8" t="s">
        <v>215</v>
      </c>
      <c r="R8" s="10">
        <f>(R5-R7)/2</f>
        <v>18.866499408021799</v>
      </c>
      <c r="T8" t="e">
        <v>#NAME?</v>
      </c>
      <c r="V8" t="e">
        <v>#NAME?</v>
      </c>
    </row>
    <row r="9">
      <c r="A9" s="75">
        <v>4.5</v>
      </c>
      <c r="C9" s="27">
        <f t="shared" si="1653"/>
        <v>4.5</v>
      </c>
      <c r="D9" s="8">
        <f t="shared" si="1654"/>
        <v>-0.46000000000000008</v>
      </c>
      <c r="E9">
        <f t="shared" si="1655"/>
        <v>-0.34999999999999998</v>
      </c>
      <c r="F9">
        <f t="shared" si="1656"/>
        <v>-0.40000000000000002</v>
      </c>
      <c r="G9">
        <f t="shared" si="1657"/>
        <v>-0.5</v>
      </c>
      <c r="H9">
        <f t="shared" si="1658"/>
        <v>-1</v>
      </c>
      <c r="I9" t="str">
        <f t="shared" si="1659"/>
        <v/>
      </c>
      <c r="J9" t="str">
        <f t="shared" si="1660"/>
        <v/>
      </c>
      <c r="K9" t="str">
        <f t="shared" si="1661"/>
        <v/>
      </c>
      <c r="L9" t="str">
        <f t="shared" si="1662"/>
        <v/>
      </c>
      <c r="M9" t="str">
        <f t="shared" si="1663"/>
        <v/>
      </c>
      <c r="N9" t="str">
        <f t="shared" si="1664"/>
        <v/>
      </c>
      <c r="O9" s="9" t="str">
        <f t="shared" si="1665"/>
        <v/>
      </c>
      <c r="Q9" t="s">
        <v>216</v>
      </c>
      <c r="R9" s="13">
        <f>(R5+R7)/2</f>
        <v>47.133500591978198</v>
      </c>
      <c r="T9" t="e">
        <v>#NAME?</v>
      </c>
    </row>
    <row r="10">
      <c r="A10" s="75">
        <v>4</v>
      </c>
      <c r="C10" s="27">
        <f t="shared" ref="C10:C15" si="1666">A10</f>
        <v>4</v>
      </c>
      <c r="D10" s="8">
        <f t="shared" ref="D10:D15" si="1667">IF(ROW(D10)-ROW(D$4)&gt;COLUMN(D10)-COLUMN($D10),($C10-D$3)/((ROW(D10)-ROW(D$4))-(COLUMN(D10)-COLUMN($D10))),"")</f>
        <v>-0.46666666666666695</v>
      </c>
      <c r="E10">
        <f t="shared" ref="E10:E15" si="1668">IF(ROW(E10)-ROW(E$4)&gt;COLUMN(E10)-COLUMN($D10),($C10-E$3)/((ROW(E10)-ROW(E$4))-(COLUMN(E10)-COLUMN($D10))),"")</f>
        <v>-0.38</v>
      </c>
      <c r="F10">
        <f t="shared" ref="F10:F15" si="1669">IF(ROW(F10)-ROW(F$4)&gt;COLUMN(F10)-COLUMN($D10),($C10-F$3)/((ROW(F10)-ROW(F$4))-(COLUMN(F10)-COLUMN($D10))),"")</f>
        <v>-0.42499999999999999</v>
      </c>
      <c r="G10">
        <f t="shared" ref="G10:G15" si="1670">IF(ROW(G10)-ROW(G$4)&gt;COLUMN(G10)-COLUMN($D10),($C10-G$3)/((ROW(G10)-ROW(G$4))-(COLUMN(G10)-COLUMN($D10))),"")</f>
        <v>-0.5</v>
      </c>
      <c r="H10">
        <f t="shared" ref="H10:H15" si="1671">IF(ROW(H10)-ROW(H$4)&gt;COLUMN(H10)-COLUMN($D10),($C10-H$3)/((ROW(H10)-ROW(H$4))-(COLUMN(H10)-COLUMN($D10))),"")</f>
        <v>-0.75</v>
      </c>
      <c r="I10">
        <f t="shared" ref="I10:I15" si="1672">IF(ROW(I10)-ROW(I$4)&gt;COLUMN(I10)-COLUMN($D10),($C10-I$3)/((ROW(I10)-ROW(I$4))-(COLUMN(I10)-COLUMN($D10))),"")</f>
        <v>-0.5</v>
      </c>
      <c r="J10" t="str">
        <f t="shared" ref="J10:J15" si="1673">IF(ROW(J10)-ROW(J$4)&gt;COLUMN(J10)-COLUMN($D10),($C10-J$3)/((ROW(J10)-ROW(J$4))-(COLUMN(J10)-COLUMN($D10))),"")</f>
        <v/>
      </c>
      <c r="K10" t="str">
        <f t="shared" ref="K10:K15" si="1674">IF(ROW(K10)-ROW(K$4)&gt;COLUMN(K10)-COLUMN($D10),($C10-K$3)/((ROW(K10)-ROW(K$4))-(COLUMN(K10)-COLUMN($D10))),"")</f>
        <v/>
      </c>
      <c r="L10" t="str">
        <f t="shared" ref="L10:L15" si="1675">IF(ROW(L10)-ROW(L$4)&gt;COLUMN(L10)-COLUMN($D10),($C10-L$3)/((ROW(L10)-ROW(L$4))-(COLUMN(L10)-COLUMN($D10))),"")</f>
        <v/>
      </c>
      <c r="M10" t="str">
        <f t="shared" ref="M10:M15" si="1676">IF(ROW(M10)-ROW(M$4)&gt;COLUMN(M10)-COLUMN($D10),($C10-M$3)/((ROW(M10)-ROW(M$4))-(COLUMN(M10)-COLUMN($D10))),"")</f>
        <v/>
      </c>
      <c r="N10" t="str">
        <f t="shared" ref="N10:N15" si="1677">IF(ROW(N10)-ROW(N$4)&gt;COLUMN(N10)-COLUMN($D10),($C10-N$3)/((ROW(N10)-ROW(N$4))-(COLUMN(N10)-COLUMN($D10))),"")</f>
        <v/>
      </c>
      <c r="O10" s="9" t="str">
        <f t="shared" ref="O10:O15" si="1678">IF(ROW(O10)-ROW(O$4)&gt;COLUMN(O10)-COLUMN($D10),($C10-O$3)/((ROW(O10)-ROW(O$4))-(COLUMN(O10)-COLUMN($D10))),"")</f>
        <v/>
      </c>
    </row>
    <row r="11">
      <c r="A11" s="75">
        <v>5.1000000000000005</v>
      </c>
      <c r="C11" s="27">
        <f t="shared" si="1666"/>
        <v>5.0999999999999996</v>
      </c>
      <c r="D11" s="8">
        <f t="shared" si="1667"/>
        <v>-0.24285714285714297</v>
      </c>
      <c r="E11">
        <f t="shared" si="1668"/>
        <v>-0.133333333333334</v>
      </c>
      <c r="F11">
        <f t="shared" si="1669"/>
        <v>-0.12</v>
      </c>
      <c r="G11">
        <f t="shared" si="1670"/>
        <v>-0.10000000000000001</v>
      </c>
      <c r="H11">
        <f t="shared" si="1671"/>
        <v>-0.133333333333333</v>
      </c>
      <c r="I11">
        <f t="shared" si="1672"/>
        <v>0.29999999999999999</v>
      </c>
      <c r="J11">
        <f t="shared" si="1673"/>
        <v>1.1000000000000001</v>
      </c>
      <c r="K11" t="str">
        <f t="shared" si="1674"/>
        <v/>
      </c>
      <c r="L11" t="str">
        <f t="shared" si="1675"/>
        <v/>
      </c>
      <c r="M11" t="str">
        <f t="shared" si="1676"/>
        <v/>
      </c>
      <c r="N11" t="str">
        <f t="shared" si="1677"/>
        <v/>
      </c>
      <c r="O11" s="9" t="str">
        <f t="shared" si="1678"/>
        <v/>
      </c>
      <c r="Q11" t="s">
        <v>613</v>
      </c>
      <c r="R11" s="7">
        <f>MEDIAN(D5:N15)</f>
        <v>-0.20000000000000001</v>
      </c>
      <c r="T11" t="e">
        <v>#NAME?</v>
      </c>
    </row>
    <row r="12">
      <c r="A12" s="75">
        <v>4.5</v>
      </c>
      <c r="C12" s="27">
        <f t="shared" si="1666"/>
        <v>4.5</v>
      </c>
      <c r="D12" s="8">
        <f t="shared" si="1667"/>
        <v>-0.28749999999999998</v>
      </c>
      <c r="E12">
        <f t="shared" si="1668"/>
        <v>-0.20000000000000001</v>
      </c>
      <c r="F12">
        <f t="shared" si="1669"/>
        <v>-0.20000000000000001</v>
      </c>
      <c r="G12">
        <f t="shared" si="1670"/>
        <v>-0.20000000000000001</v>
      </c>
      <c r="H12">
        <f t="shared" si="1671"/>
        <v>-0.25</v>
      </c>
      <c r="I12">
        <f t="shared" si="1672"/>
        <v>0</v>
      </c>
      <c r="J12">
        <f t="shared" si="1673"/>
        <v>0.25</v>
      </c>
      <c r="K12">
        <f t="shared" si="1674"/>
        <v>-0.59999999999999998</v>
      </c>
      <c r="L12" t="str">
        <f t="shared" si="1675"/>
        <v/>
      </c>
      <c r="M12" t="str">
        <f t="shared" si="1676"/>
        <v/>
      </c>
      <c r="N12" t="str">
        <f t="shared" si="1677"/>
        <v/>
      </c>
      <c r="O12" s="9" t="str">
        <f t="shared" si="1678"/>
        <v/>
      </c>
      <c r="Q12" t="s">
        <v>215</v>
      </c>
      <c r="R12" s="10">
        <f>SMALL(D5:N15,R8)</f>
        <v>-0.36666666666666697</v>
      </c>
      <c r="T12" t="e">
        <v>#NAME?</v>
      </c>
    </row>
    <row r="13">
      <c r="A13" s="75">
        <v>4.5</v>
      </c>
      <c r="C13" s="27">
        <f t="shared" si="1666"/>
        <v>4.5</v>
      </c>
      <c r="D13" s="8">
        <f t="shared" si="1667"/>
        <v>-0.25555555555555598</v>
      </c>
      <c r="E13">
        <f t="shared" si="1668"/>
        <v>-0.17499999999999999</v>
      </c>
      <c r="F13">
        <f t="shared" si="1669"/>
        <v>-0.17142857142857101</v>
      </c>
      <c r="G13">
        <f t="shared" si="1670"/>
        <v>-0.16666666666666699</v>
      </c>
      <c r="H13">
        <f t="shared" si="1671"/>
        <v>-0.20000000000000001</v>
      </c>
      <c r="I13">
        <f t="shared" si="1672"/>
        <v>0</v>
      </c>
      <c r="J13">
        <f t="shared" si="1673"/>
        <v>0.16666666666666699</v>
      </c>
      <c r="K13">
        <f t="shared" si="1674"/>
        <v>-0.29999999999999999</v>
      </c>
      <c r="L13">
        <f t="shared" si="1675"/>
        <v>0</v>
      </c>
      <c r="M13" t="str">
        <f t="shared" si="1676"/>
        <v/>
      </c>
      <c r="N13" t="str">
        <f t="shared" si="1677"/>
        <v/>
      </c>
      <c r="O13" s="9" t="str">
        <f t="shared" si="1678"/>
        <v/>
      </c>
      <c r="Q13" t="s">
        <v>216</v>
      </c>
      <c r="R13" s="13">
        <f>SMALL(D5:N15,R9+1)</f>
        <v>-0.10000000000000001</v>
      </c>
      <c r="T13" t="e">
        <v>#NAME?</v>
      </c>
    </row>
    <row r="14">
      <c r="A14" s="75">
        <v>3.2999999999999998</v>
      </c>
      <c r="C14" s="27">
        <f t="shared" si="1666"/>
        <v>3.2999999999999998</v>
      </c>
      <c r="D14" s="8">
        <f t="shared" si="1667"/>
        <v>-0.34999999999999998</v>
      </c>
      <c r="E14">
        <f t="shared" si="1668"/>
        <v>-0.28888888888888897</v>
      </c>
      <c r="F14">
        <f t="shared" si="1669"/>
        <v>-0.29999999999999999</v>
      </c>
      <c r="G14">
        <f t="shared" si="1670"/>
        <v>-0.314285714285714</v>
      </c>
      <c r="H14">
        <f t="shared" si="1671"/>
        <v>-0.36666666666666697</v>
      </c>
      <c r="I14">
        <f t="shared" si="1672"/>
        <v>-0.23999999999999999</v>
      </c>
      <c r="J14">
        <f t="shared" si="1673"/>
        <v>-0.17499999999999999</v>
      </c>
      <c r="K14">
        <f t="shared" si="1674"/>
        <v>-0.59999999999999998</v>
      </c>
      <c r="L14">
        <f t="shared" si="1675"/>
        <v>-0.59999999999999998</v>
      </c>
      <c r="M14">
        <f t="shared" si="1676"/>
        <v>-1.2</v>
      </c>
      <c r="N14" t="str">
        <f t="shared" si="1677"/>
        <v/>
      </c>
      <c r="O14" s="9" t="str">
        <f t="shared" si="1678"/>
        <v/>
      </c>
    </row>
    <row r="15">
      <c r="A15" s="76">
        <v>4.7999999999999998</v>
      </c>
      <c r="C15" s="27">
        <f t="shared" si="1666"/>
        <v>4.7999999999999998</v>
      </c>
      <c r="D15" s="11">
        <f t="shared" si="1667"/>
        <v>-0.18181818181818199</v>
      </c>
      <c r="E15" s="14">
        <f t="shared" si="1668"/>
        <v>-0.11000000000000001</v>
      </c>
      <c r="F15" s="14">
        <f t="shared" si="1669"/>
        <v>-0.10000000000000001</v>
      </c>
      <c r="G15" s="14">
        <f t="shared" si="1670"/>
        <v>-8.7499999999999994e-02</v>
      </c>
      <c r="H15" s="14">
        <f t="shared" si="1671"/>
        <v>-0.10000000000000001</v>
      </c>
      <c r="I15" s="14">
        <f t="shared" si="1672"/>
        <v>5.0000000000000003e-02</v>
      </c>
      <c r="J15" s="14">
        <f t="shared" si="1673"/>
        <v>0.16</v>
      </c>
      <c r="K15" s="14">
        <f t="shared" si="1674"/>
        <v>-7.4999999999999997e-02</v>
      </c>
      <c r="L15" s="14">
        <f t="shared" si="1675"/>
        <v>0.10000000000000001</v>
      </c>
      <c r="M15" s="14">
        <f t="shared" si="1676"/>
        <v>0.14999999999999999</v>
      </c>
      <c r="N15" s="14">
        <f t="shared" si="1677"/>
        <v>1.5</v>
      </c>
      <c r="O15" s="12" t="str">
        <f t="shared" si="1678"/>
        <v/>
      </c>
    </row>
    <row r="16"/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9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2" max="2" width="4.5446429999999998"/>
  </cols>
  <sheetData>
    <row r="1">
      <c r="A1" s="1" t="s">
        <v>614</v>
      </c>
    </row>
    <row r="3">
      <c r="C3" t="s">
        <v>154</v>
      </c>
    </row>
    <row r="5">
      <c r="A5" s="4" t="s">
        <v>173</v>
      </c>
      <c r="C5" t="s">
        <v>203</v>
      </c>
      <c r="D5" s="7">
        <v>5.0000000000000003e-02</v>
      </c>
    </row>
    <row r="6">
      <c r="A6" s="75">
        <v>6.7999999999999998</v>
      </c>
      <c r="C6" t="e">
        <v>#NAME?</v>
      </c>
      <c r="D6" s="10" t="e">
        <v>#NAME?</v>
      </c>
    </row>
    <row r="7">
      <c r="A7" s="75">
        <v>5.9000000000000004</v>
      </c>
      <c r="C7" t="e">
        <v>#NAME?</v>
      </c>
      <c r="D7" s="10" t="e">
        <v>#NAME?</v>
      </c>
    </row>
    <row r="8">
      <c r="A8" s="75">
        <v>5.7000000000000002</v>
      </c>
      <c r="C8" t="e">
        <v>#NAME?</v>
      </c>
      <c r="D8" s="10" t="e">
        <v>#NAME?</v>
      </c>
    </row>
    <row r="9">
      <c r="A9" s="75">
        <v>5.5</v>
      </c>
      <c r="C9" t="e">
        <v>#NAME?</v>
      </c>
      <c r="D9" s="10" t="e">
        <v>#NAME?</v>
      </c>
    </row>
    <row r="10">
      <c r="A10" s="75">
        <v>5.5</v>
      </c>
      <c r="C10" t="e">
        <v>#NAME?</v>
      </c>
      <c r="D10" s="21" t="e">
        <v>#NAME?</v>
      </c>
    </row>
    <row r="11">
      <c r="A11" s="75">
        <v>4.5</v>
      </c>
    </row>
    <row r="12">
      <c r="A12" s="75">
        <v>4</v>
      </c>
      <c r="C12" t="s">
        <v>155</v>
      </c>
    </row>
    <row r="13">
      <c r="A13" s="75">
        <v>5.1000000000000005</v>
      </c>
    </row>
    <row r="14">
      <c r="A14" s="75">
        <v>4.5</v>
      </c>
      <c r="C14" t="s">
        <v>203</v>
      </c>
      <c r="D14" s="7">
        <v>5.0000000000000003e-02</v>
      </c>
    </row>
    <row r="15">
      <c r="A15" s="75">
        <v>4.5</v>
      </c>
      <c r="C15" t="e">
        <v>#NAME?</v>
      </c>
      <c r="D15" s="10" t="e">
        <v>#NAME?</v>
      </c>
    </row>
    <row r="16">
      <c r="A16" s="75">
        <v>3.2999999999999998</v>
      </c>
      <c r="C16" t="e">
        <v>#NAME?</v>
      </c>
      <c r="D16" s="10" t="e">
        <v>#NAME?</v>
      </c>
    </row>
    <row r="17">
      <c r="A17" s="76">
        <v>4.7999999999999998</v>
      </c>
      <c r="C17" t="e">
        <v>#NAME?</v>
      </c>
      <c r="D17" s="13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9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J17" activeCellId="0" sqref="J17"/>
    </sheetView>
  </sheetViews>
  <sheetFormatPr defaultRowHeight="14.25"/>
  <cols>
    <col customWidth="1" min="8" max="8" width="12"/>
  </cols>
  <sheetData>
    <row r="1">
      <c r="A1" s="1" t="s">
        <v>615</v>
      </c>
    </row>
    <row r="3">
      <c r="A3" s="74">
        <v>4.7999999999999998</v>
      </c>
      <c r="C3" t="e">
        <v>#NAME?</v>
      </c>
      <c r="D3" s="7" t="e">
        <v>#NAME?</v>
      </c>
      <c r="F3" t="e">
        <v>#NAME?</v>
      </c>
      <c r="G3" s="7" t="e">
        <v>#NAME?</v>
      </c>
    </row>
    <row r="4">
      <c r="A4" s="74">
        <v>4.9000000000000004</v>
      </c>
      <c r="C4" t="e">
        <v>#NAME?</v>
      </c>
      <c r="D4" s="10" t="e">
        <v>#NAME?</v>
      </c>
      <c r="F4" t="e">
        <v>#NAME?</v>
      </c>
      <c r="G4" s="10" t="e">
        <v>#NAME?</v>
      </c>
    </row>
    <row r="5">
      <c r="A5" s="74">
        <v>4.5</v>
      </c>
      <c r="C5" t="e">
        <v>#NAME?</v>
      </c>
      <c r="D5" s="10" t="e">
        <v>#NAME?</v>
      </c>
      <c r="F5" t="e">
        <v>#NAME?</v>
      </c>
      <c r="G5" s="13" t="e">
        <v>#NAME?</v>
      </c>
    </row>
    <row r="6">
      <c r="A6" s="74">
        <v>5.9000000000000004</v>
      </c>
      <c r="C6" t="e">
        <v>#NAME?</v>
      </c>
      <c r="D6" s="10" t="e">
        <v>#NAME?</v>
      </c>
    </row>
    <row r="7">
      <c r="A7" s="74">
        <v>6.7999999999999998</v>
      </c>
      <c r="C7" t="e">
        <v>#NAME?</v>
      </c>
      <c r="D7" s="13" t="e">
        <v>#NAME?</v>
      </c>
    </row>
    <row r="8">
      <c r="A8" s="74">
        <v>5.2999999999999998</v>
      </c>
    </row>
    <row r="9">
      <c r="A9" s="74">
        <v>4.5</v>
      </c>
      <c r="C9" t="e">
        <v>#NAME?</v>
      </c>
      <c r="F9" t="e">
        <v>#NAME?</v>
      </c>
    </row>
    <row r="10">
      <c r="A10" s="74">
        <v>4.0999999999999996</v>
      </c>
    </row>
    <row r="11">
      <c r="A11" s="74">
        <v>5.0999999999999996</v>
      </c>
    </row>
    <row r="12">
      <c r="A12" s="74">
        <v>4.5</v>
      </c>
    </row>
    <row r="13">
      <c r="A13" s="74">
        <v>3.8999999999999999</v>
      </c>
    </row>
    <row r="14">
      <c r="A14" s="74">
        <v>3</v>
      </c>
    </row>
    <row r="15">
      <c r="A15" s="74">
        <v>5.4000000000000004</v>
      </c>
    </row>
    <row r="16">
      <c r="A16" s="74">
        <v>3.8999999999999999</v>
      </c>
    </row>
    <row r="17">
      <c r="A17" s="74">
        <v>5.7000000000000002</v>
      </c>
    </row>
    <row r="18">
      <c r="A18" s="74">
        <v>4.4000000000000004</v>
      </c>
    </row>
    <row r="19">
      <c r="A19" s="74">
        <v>6.2000000000000002</v>
      </c>
    </row>
    <row r="20">
      <c r="A20" s="74">
        <v>4.4000000000000004</v>
      </c>
    </row>
    <row r="21">
      <c r="A21" s="74">
        <v>3.7000000000000002</v>
      </c>
    </row>
    <row r="22">
      <c r="A22" s="74">
        <v>4.4000000000000004</v>
      </c>
    </row>
    <row r="23">
      <c r="A23" s="74">
        <v>4</v>
      </c>
    </row>
    <row r="24">
      <c r="A24" s="74">
        <v>3.7999999999999998</v>
      </c>
    </row>
    <row r="25">
      <c r="A25" s="74">
        <v>5.0999999999999996</v>
      </c>
    </row>
    <row r="26">
      <c r="A26" s="74">
        <v>4.4000000000000004</v>
      </c>
    </row>
    <row r="27">
      <c r="A27" s="74">
        <v>3.2999999999999998</v>
      </c>
    </row>
    <row r="28">
      <c r="A28" s="74">
        <v>3.8999999999999999</v>
      </c>
    </row>
    <row r="29">
      <c r="A29" s="74">
        <v>5.2000000000000002</v>
      </c>
    </row>
    <row r="30">
      <c r="A30" s="74">
        <v>5.5</v>
      </c>
    </row>
    <row r="31">
      <c r="A31" s="74">
        <v>5.0999999999999996</v>
      </c>
    </row>
    <row r="32">
      <c r="A32" s="74">
        <v>6</v>
      </c>
    </row>
    <row r="33">
      <c r="A33" s="74">
        <v>6.5999999999999996</v>
      </c>
    </row>
    <row r="34">
      <c r="A34" s="74">
        <v>3.5</v>
      </c>
    </row>
    <row r="35">
      <c r="A35" s="74">
        <v>4.5999999999999996</v>
      </c>
    </row>
    <row r="36">
      <c r="A36" s="74">
        <v>3.6000000000000001</v>
      </c>
    </row>
    <row r="37">
      <c r="A37" s="74">
        <v>4.7999999999999998</v>
      </c>
    </row>
    <row r="38">
      <c r="A38" s="74">
        <v>4.0999999999999996</v>
      </c>
    </row>
    <row r="39">
      <c r="A39" s="74">
        <v>5</v>
      </c>
    </row>
    <row r="40">
      <c r="A40" s="74">
        <v>5.4000000000000004</v>
      </c>
    </row>
    <row r="41">
      <c r="A41" s="74">
        <v>6.2000000000000002</v>
      </c>
    </row>
    <row r="42">
      <c r="A42" s="74">
        <v>5.5</v>
      </c>
    </row>
    <row r="43">
      <c r="A43" s="74">
        <v>3.5</v>
      </c>
    </row>
    <row r="44">
      <c r="A44" s="74">
        <v>4.9000000000000004</v>
      </c>
    </row>
    <row r="45">
      <c r="A45" s="74">
        <v>3.2000000000000002</v>
      </c>
    </row>
    <row r="46">
      <c r="A46" s="74">
        <v>5.7000000000000002</v>
      </c>
    </row>
    <row r="47">
      <c r="A47" s="74">
        <v>7.2000000000000002</v>
      </c>
    </row>
    <row r="48">
      <c r="A48" s="74">
        <v>6.5999999999999996</v>
      </c>
    </row>
    <row r="49">
      <c r="A49" s="74">
        <v>6.2999999999999998</v>
      </c>
    </row>
    <row r="50">
      <c r="A50" s="74">
        <v>6.4000000000000004</v>
      </c>
    </row>
    <row r="51">
      <c r="A51" s="74">
        <v>4.9000000000000004</v>
      </c>
    </row>
    <row r="52">
      <c r="A52" s="74">
        <v>5.2000000000000002</v>
      </c>
    </row>
    <row r="53">
      <c r="A53" s="74">
        <v>6.2000000000000002</v>
      </c>
    </row>
    <row r="54">
      <c r="A54" s="74">
        <v>4.4000000000000004</v>
      </c>
    </row>
    <row r="55">
      <c r="A55" s="74">
        <v>5.7000000000000002</v>
      </c>
    </row>
    <row r="56">
      <c r="A56" s="74">
        <v>5.2999999999999998</v>
      </c>
    </row>
    <row r="57">
      <c r="A57" s="74">
        <v>6.5999999999999996</v>
      </c>
    </row>
    <row r="58">
      <c r="A58" s="74">
        <v>7</v>
      </c>
    </row>
    <row r="59">
      <c r="A59" s="74">
        <v>5.7999999999999998</v>
      </c>
    </row>
    <row r="60">
      <c r="A60" s="74">
        <v>6.2000000000000002</v>
      </c>
    </row>
    <row r="61">
      <c r="A61" s="74">
        <v>5.5999999999999996</v>
      </c>
    </row>
    <row r="62">
      <c r="A62" s="74">
        <v>5.9000000000000004</v>
      </c>
    </row>
    <row r="63">
      <c r="A63" s="74">
        <v>5.7999999999999998</v>
      </c>
    </row>
    <row r="64">
      <c r="A64" s="74">
        <v>6.5</v>
      </c>
    </row>
    <row r="65">
      <c r="A65" s="74">
        <v>6.7000000000000002</v>
      </c>
    </row>
    <row r="66">
      <c r="A66" s="74">
        <v>7.2000000000000002</v>
      </c>
    </row>
    <row r="67">
      <c r="A67" s="74">
        <v>6</v>
      </c>
    </row>
    <row r="68">
      <c r="A68" s="74">
        <v>5.0999999999999996</v>
      </c>
    </row>
    <row r="69">
      <c r="A69" s="74">
        <v>6.9000000000000004</v>
      </c>
    </row>
    <row r="70">
      <c r="A70" s="74">
        <v>5.2999999999999998</v>
      </c>
    </row>
    <row r="71">
      <c r="A71" s="74">
        <v>6.5999999999999996</v>
      </c>
    </row>
    <row r="72">
      <c r="A72" s="74">
        <v>6.7000000000000002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sheetData>
    <row r="1">
      <c r="A1" s="17" t="s">
        <v>616</v>
      </c>
      <c r="B1" s="17" t="s">
        <v>617</v>
      </c>
      <c r="C1" s="17" t="s">
        <v>618</v>
      </c>
      <c r="F1" s="15" t="s">
        <v>619</v>
      </c>
      <c r="G1" s="15" t="s">
        <v>620</v>
      </c>
      <c r="I1" t="s">
        <v>351</v>
      </c>
      <c r="J1">
        <v>0</v>
      </c>
      <c r="L1" t="s">
        <v>354</v>
      </c>
      <c r="M1" s="31" t="s">
        <v>617</v>
      </c>
      <c r="O1" t="s">
        <v>351</v>
      </c>
      <c r="P1">
        <v>0</v>
      </c>
      <c r="R1" t="s">
        <v>354</v>
      </c>
      <c r="S1" s="31" t="s">
        <v>618</v>
      </c>
      <c r="U1" t="s">
        <v>351</v>
      </c>
      <c r="V1">
        <v>0</v>
      </c>
      <c r="X1" t="s">
        <v>354</v>
      </c>
      <c r="Y1" s="31" t="s">
        <v>617</v>
      </c>
      <c r="AA1" t="s">
        <v>351</v>
      </c>
      <c r="AB1">
        <v>0</v>
      </c>
      <c r="AD1" t="s">
        <v>354</v>
      </c>
      <c r="AE1" s="31" t="s">
        <v>618</v>
      </c>
      <c r="AG1" t="s">
        <v>351</v>
      </c>
      <c r="AH1">
        <v>0</v>
      </c>
      <c r="AJ1" t="s">
        <v>354</v>
      </c>
      <c r="AM1" t="s">
        <v>351</v>
      </c>
      <c r="AN1">
        <v>0</v>
      </c>
      <c r="AP1" t="s">
        <v>354</v>
      </c>
    </row>
    <row r="2">
      <c r="A2">
        <v>1931</v>
      </c>
      <c r="B2">
        <v>449743</v>
      </c>
      <c r="C2">
        <v>3532</v>
      </c>
      <c r="E2">
        <v>1</v>
      </c>
      <c r="F2" t="e">
        <v>#NAME?</v>
      </c>
      <c r="G2" t="e">
        <v>#NAME?</v>
      </c>
    </row>
    <row r="3">
      <c r="A3">
        <v>1932</v>
      </c>
      <c r="B3">
        <v>436815</v>
      </c>
      <c r="C3">
        <v>3327</v>
      </c>
      <c r="E3">
        <v>2</v>
      </c>
      <c r="F3" t="e">
        <v>#NAME?</v>
      </c>
      <c r="G3" t="e">
        <v>#NAME?</v>
      </c>
      <c r="I3" s="24" t="s">
        <v>355</v>
      </c>
      <c r="J3" s="24" t="s">
        <v>173</v>
      </c>
      <c r="L3" t="s">
        <v>359</v>
      </c>
      <c r="M3" s="43" t="s">
        <v>360</v>
      </c>
      <c r="O3" s="24" t="s">
        <v>355</v>
      </c>
      <c r="P3" s="24" t="s">
        <v>173</v>
      </c>
      <c r="R3" t="s">
        <v>359</v>
      </c>
      <c r="S3" s="43" t="s">
        <v>360</v>
      </c>
      <c r="U3" s="24" t="s">
        <v>355</v>
      </c>
      <c r="V3" s="24" t="s">
        <v>173</v>
      </c>
      <c r="X3" t="s">
        <v>359</v>
      </c>
      <c r="Y3" s="43" t="s">
        <v>360</v>
      </c>
      <c r="AA3" s="24" t="s">
        <v>355</v>
      </c>
      <c r="AB3" s="24" t="s">
        <v>173</v>
      </c>
      <c r="AD3" t="s">
        <v>359</v>
      </c>
      <c r="AE3" s="43" t="s">
        <v>360</v>
      </c>
      <c r="AG3" s="24" t="s">
        <v>355</v>
      </c>
      <c r="AH3" s="24" t="s">
        <v>173</v>
      </c>
      <c r="AJ3" t="s">
        <v>359</v>
      </c>
      <c r="AK3" s="43" t="s">
        <v>360</v>
      </c>
      <c r="AM3" s="24" t="s">
        <v>355</v>
      </c>
      <c r="AN3" s="24" t="s">
        <v>173</v>
      </c>
      <c r="AP3" t="s">
        <v>359</v>
      </c>
      <c r="AQ3" s="43" t="s">
        <v>360</v>
      </c>
    </row>
    <row r="4">
      <c r="A4">
        <v>1933</v>
      </c>
      <c r="B4">
        <v>444523</v>
      </c>
      <c r="C4">
        <v>3255</v>
      </c>
      <c r="E4">
        <v>3</v>
      </c>
      <c r="F4" t="e">
        <v>#NAME?</v>
      </c>
      <c r="G4" t="e">
        <v>#NAME?</v>
      </c>
      <c r="I4">
        <v>1</v>
      </c>
      <c r="J4" t="e">
        <v>#NAME?</v>
      </c>
      <c r="L4" t="s">
        <v>362</v>
      </c>
      <c r="M4" s="44" t="s">
        <v>365</v>
      </c>
      <c r="O4">
        <v>1</v>
      </c>
      <c r="P4" t="e">
        <v>#NAME?</v>
      </c>
      <c r="R4" t="s">
        <v>362</v>
      </c>
      <c r="S4" s="44" t="s">
        <v>365</v>
      </c>
      <c r="U4">
        <v>1</v>
      </c>
      <c r="V4" t="e">
        <v>#NAME?</v>
      </c>
      <c r="X4" t="s">
        <v>362</v>
      </c>
      <c r="Y4" s="44" t="s">
        <v>363</v>
      </c>
      <c r="AA4">
        <v>1</v>
      </c>
      <c r="AB4" t="e">
        <v>#NAME?</v>
      </c>
      <c r="AD4" t="s">
        <v>362</v>
      </c>
      <c r="AE4" s="44" t="s">
        <v>363</v>
      </c>
      <c r="AG4">
        <v>1</v>
      </c>
      <c r="AH4" t="e">
        <v>#NAME?</v>
      </c>
      <c r="AJ4" t="s">
        <v>362</v>
      </c>
      <c r="AK4" s="44" t="s">
        <v>363</v>
      </c>
      <c r="AM4">
        <v>1</v>
      </c>
      <c r="AN4" t="e">
        <v>#NAME?</v>
      </c>
      <c r="AP4" t="s">
        <v>362</v>
      </c>
      <c r="AQ4" s="44" t="s">
        <v>363</v>
      </c>
    </row>
    <row r="5">
      <c r="A5">
        <v>1934</v>
      </c>
      <c r="B5">
        <v>433937</v>
      </c>
      <c r="C5">
        <v>3156</v>
      </c>
      <c r="E5">
        <v>4</v>
      </c>
      <c r="F5" t="e">
        <v>#NAME?</v>
      </c>
      <c r="G5" t="e">
        <v>#NAME?</v>
      </c>
      <c r="I5">
        <f t="shared" ref="I5:I10" si="1679">I4+1</f>
        <v>2</v>
      </c>
      <c r="J5" t="e">
        <v>#NAME?</v>
      </c>
      <c r="L5" t="s">
        <v>364</v>
      </c>
      <c r="M5" s="44" t="s">
        <v>365</v>
      </c>
      <c r="O5">
        <f t="shared" ref="O5:O10" si="1680">O4+1</f>
        <v>2</v>
      </c>
      <c r="P5" t="e">
        <v>#NAME?</v>
      </c>
      <c r="R5" t="s">
        <v>364</v>
      </c>
      <c r="S5" s="44" t="s">
        <v>365</v>
      </c>
      <c r="U5">
        <f t="shared" ref="U5:U10" si="1681">U4+1</f>
        <v>2</v>
      </c>
      <c r="V5" t="e">
        <v>#NAME?</v>
      </c>
      <c r="X5" t="s">
        <v>364</v>
      </c>
      <c r="Y5" s="44" t="s">
        <v>365</v>
      </c>
      <c r="AA5">
        <f t="shared" ref="AA5:AA10" si="1682">AA4+1</f>
        <v>2</v>
      </c>
      <c r="AB5" t="e">
        <v>#NAME?</v>
      </c>
      <c r="AD5" t="s">
        <v>364</v>
      </c>
      <c r="AE5" s="44" t="s">
        <v>365</v>
      </c>
      <c r="AG5">
        <f t="shared" ref="AG5:AG10" si="1683">AG4+1</f>
        <v>2</v>
      </c>
      <c r="AH5" t="e">
        <v>#NAME?</v>
      </c>
      <c r="AJ5" t="s">
        <v>364</v>
      </c>
      <c r="AK5" s="44" t="s">
        <v>363</v>
      </c>
      <c r="AM5">
        <f t="shared" ref="AM5:AM10" si="1684">AM4+1</f>
        <v>2</v>
      </c>
      <c r="AN5" t="e">
        <v>#NAME?</v>
      </c>
      <c r="AP5" t="s">
        <v>364</v>
      </c>
      <c r="AQ5" s="44" t="s">
        <v>363</v>
      </c>
    </row>
    <row r="6">
      <c r="A6">
        <v>1935</v>
      </c>
      <c r="B6">
        <v>389958</v>
      </c>
      <c r="C6">
        <v>3081</v>
      </c>
      <c r="I6">
        <f t="shared" si="1679"/>
        <v>3</v>
      </c>
      <c r="J6" t="e">
        <v>#NAME?</v>
      </c>
      <c r="L6" t="s">
        <v>356</v>
      </c>
      <c r="M6" s="10">
        <f>IF(M3&lt;&gt;"schwert",0,ROUND(12*(COUNT(J4:J43)/100)^(1/4),0))</f>
        <v>0</v>
      </c>
      <c r="O6">
        <f t="shared" si="1680"/>
        <v>3</v>
      </c>
      <c r="P6" t="e">
        <v>#NAME?</v>
      </c>
      <c r="R6" t="s">
        <v>356</v>
      </c>
      <c r="S6" s="10">
        <f>IF(S3&lt;&gt;"schwert",0,ROUND(12*(COUNT(P4:P43)/100)^(1/4),0))</f>
        <v>0</v>
      </c>
      <c r="U6">
        <f t="shared" si="1681"/>
        <v>3</v>
      </c>
      <c r="V6" t="e">
        <v>#NAME?</v>
      </c>
      <c r="X6" t="s">
        <v>356</v>
      </c>
      <c r="Y6" s="10">
        <f>IF(Y3&lt;&gt;"schwert",0,ROUND(12*(COUNT(V4:V45)/100)^(1/4),0))</f>
        <v>0</v>
      </c>
      <c r="AA6">
        <f t="shared" si="1682"/>
        <v>3</v>
      </c>
      <c r="AB6" t="e">
        <v>#NAME?</v>
      </c>
      <c r="AD6" t="s">
        <v>356</v>
      </c>
      <c r="AE6" s="10">
        <f>IF(AE3&lt;&gt;"schwert",0,ROUND(12*(COUNT(AB4:AB45)/100)^(1/4),0))</f>
        <v>0</v>
      </c>
      <c r="AG6">
        <f t="shared" si="1683"/>
        <v>3</v>
      </c>
      <c r="AH6" t="e">
        <v>#NAME?</v>
      </c>
      <c r="AJ6" t="s">
        <v>356</v>
      </c>
      <c r="AK6" s="10">
        <f>IF(AK3&lt;&gt;"schwert",0,ROUND(12*(COUNT(AH4:AH45)/100)^(1/4),0))</f>
        <v>0</v>
      </c>
      <c r="AM6">
        <f t="shared" si="1684"/>
        <v>3</v>
      </c>
      <c r="AN6" t="e">
        <v>#NAME?</v>
      </c>
      <c r="AP6" t="s">
        <v>356</v>
      </c>
      <c r="AQ6" s="10">
        <f>IF(AQ3&lt;&gt;"schwert",0,ROUND(12*(COUNT(AN4:AN45)/100)^(1/4),0))</f>
        <v>0</v>
      </c>
    </row>
    <row r="7">
      <c r="A7">
        <v>1936</v>
      </c>
      <c r="B7">
        <v>403446</v>
      </c>
      <c r="C7">
        <v>3166</v>
      </c>
      <c r="I7">
        <f t="shared" si="1679"/>
        <v>4</v>
      </c>
      <c r="J7" t="e">
        <v>#NAME?</v>
      </c>
      <c r="L7" t="s">
        <v>203</v>
      </c>
      <c r="M7" s="13">
        <v>5.0000000000000003e-02</v>
      </c>
      <c r="O7">
        <f t="shared" si="1680"/>
        <v>4</v>
      </c>
      <c r="P7" t="e">
        <v>#NAME?</v>
      </c>
      <c r="R7" t="s">
        <v>203</v>
      </c>
      <c r="S7" s="13">
        <v>5.0000000000000003e-02</v>
      </c>
      <c r="U7">
        <f t="shared" si="1681"/>
        <v>4</v>
      </c>
      <c r="V7" t="e">
        <v>#NAME?</v>
      </c>
      <c r="X7" t="s">
        <v>203</v>
      </c>
      <c r="Y7" s="13">
        <v>5.0000000000000003e-02</v>
      </c>
      <c r="AA7">
        <f t="shared" si="1682"/>
        <v>4</v>
      </c>
      <c r="AB7" t="e">
        <v>#NAME?</v>
      </c>
      <c r="AD7" t="s">
        <v>203</v>
      </c>
      <c r="AE7" s="13">
        <v>5.0000000000000003e-02</v>
      </c>
      <c r="AG7">
        <f t="shared" si="1683"/>
        <v>4</v>
      </c>
      <c r="AH7" t="e">
        <v>#NAME?</v>
      </c>
      <c r="AJ7" t="s">
        <v>203</v>
      </c>
      <c r="AK7" s="13">
        <v>5.0000000000000003e-02</v>
      </c>
      <c r="AM7">
        <f t="shared" si="1684"/>
        <v>4</v>
      </c>
      <c r="AN7" t="e">
        <v>#NAME?</v>
      </c>
      <c r="AP7" t="s">
        <v>203</v>
      </c>
      <c r="AQ7" s="13">
        <v>5.0000000000000003e-02</v>
      </c>
    </row>
    <row r="8">
      <c r="A8">
        <v>1937</v>
      </c>
      <c r="B8">
        <v>423921</v>
      </c>
      <c r="C8">
        <v>3443</v>
      </c>
      <c r="I8">
        <f t="shared" si="1679"/>
        <v>5</v>
      </c>
      <c r="J8" t="e">
        <v>#NAME?</v>
      </c>
      <c r="O8">
        <f t="shared" si="1680"/>
        <v>5</v>
      </c>
      <c r="P8" t="e">
        <v>#NAME?</v>
      </c>
      <c r="U8">
        <f t="shared" si="1681"/>
        <v>5</v>
      </c>
      <c r="V8" t="e">
        <v>#NAME?</v>
      </c>
      <c r="AA8">
        <f t="shared" si="1682"/>
        <v>5</v>
      </c>
      <c r="AB8" t="e">
        <v>#NAME?</v>
      </c>
      <c r="AG8">
        <f t="shared" si="1683"/>
        <v>5</v>
      </c>
      <c r="AH8" t="e">
        <v>#NAME?</v>
      </c>
      <c r="AM8">
        <f t="shared" si="1684"/>
        <v>5</v>
      </c>
      <c r="AN8" t="e">
        <v>#NAME?</v>
      </c>
    </row>
    <row r="9">
      <c r="A9">
        <v>1938</v>
      </c>
      <c r="B9">
        <v>389624</v>
      </c>
      <c r="C9">
        <v>3424</v>
      </c>
      <c r="I9">
        <f t="shared" si="1679"/>
        <v>6</v>
      </c>
      <c r="J9" t="e">
        <v>#NAME?</v>
      </c>
      <c r="L9" t="e">
        <v>#NAME?</v>
      </c>
      <c r="M9" s="7" t="e">
        <v>#NAME?</v>
      </c>
      <c r="O9">
        <f t="shared" si="1680"/>
        <v>6</v>
      </c>
      <c r="P9" t="e">
        <v>#NAME?</v>
      </c>
      <c r="R9" t="e">
        <v>#NAME?</v>
      </c>
      <c r="S9" s="7" t="e">
        <v>#NAME?</v>
      </c>
      <c r="U9">
        <f t="shared" si="1681"/>
        <v>6</v>
      </c>
      <c r="V9" t="e">
        <v>#NAME?</v>
      </c>
      <c r="X9" t="e">
        <v>#NAME?</v>
      </c>
      <c r="Y9" s="7" t="e">
        <v>#NAME?</v>
      </c>
      <c r="AA9">
        <f t="shared" si="1682"/>
        <v>6</v>
      </c>
      <c r="AB9" t="e">
        <v>#NAME?</v>
      </c>
      <c r="AD9" t="e">
        <v>#NAME?</v>
      </c>
      <c r="AE9" s="7" t="e">
        <v>#NAME?</v>
      </c>
      <c r="AG9">
        <f t="shared" si="1683"/>
        <v>6</v>
      </c>
      <c r="AH9" t="e">
        <v>#NAME?</v>
      </c>
      <c r="AJ9" t="e">
        <v>#NAME?</v>
      </c>
      <c r="AK9" s="7" t="e">
        <v>#NAME?</v>
      </c>
      <c r="AM9">
        <f t="shared" si="1684"/>
        <v>6</v>
      </c>
      <c r="AN9" t="e">
        <v>#NAME?</v>
      </c>
      <c r="AP9" t="e">
        <v>#NAME?</v>
      </c>
      <c r="AQ9" s="7" t="e">
        <v>#NAME?</v>
      </c>
    </row>
    <row r="10">
      <c r="A10">
        <v>1939</v>
      </c>
      <c r="B10">
        <v>418591</v>
      </c>
      <c r="C10">
        <v>3561</v>
      </c>
      <c r="I10">
        <f t="shared" si="1679"/>
        <v>7</v>
      </c>
      <c r="J10" t="e">
        <v>#NAME?</v>
      </c>
      <c r="L10" t="e">
        <v>#NAME?</v>
      </c>
      <c r="M10" s="10" t="e">
        <v>#NAME?</v>
      </c>
      <c r="O10">
        <f t="shared" si="1680"/>
        <v>7</v>
      </c>
      <c r="P10" t="e">
        <v>#NAME?</v>
      </c>
      <c r="R10" t="e">
        <v>#NAME?</v>
      </c>
      <c r="S10" s="10" t="e">
        <v>#NAME?</v>
      </c>
      <c r="U10">
        <f t="shared" si="1681"/>
        <v>7</v>
      </c>
      <c r="V10" t="e">
        <v>#NAME?</v>
      </c>
      <c r="X10" t="e">
        <v>#NAME?</v>
      </c>
      <c r="Y10" s="10" t="e">
        <v>#NAME?</v>
      </c>
      <c r="AA10">
        <f t="shared" si="1682"/>
        <v>7</v>
      </c>
      <c r="AB10" t="e">
        <v>#NAME?</v>
      </c>
      <c r="AD10" t="e">
        <v>#NAME?</v>
      </c>
      <c r="AE10" s="10" t="e">
        <v>#NAME?</v>
      </c>
      <c r="AG10">
        <f t="shared" si="1683"/>
        <v>7</v>
      </c>
      <c r="AH10" t="e">
        <v>#NAME?</v>
      </c>
      <c r="AJ10" t="e">
        <v>#NAME?</v>
      </c>
      <c r="AK10" s="10" t="e">
        <v>#NAME?</v>
      </c>
      <c r="AM10">
        <f t="shared" si="1684"/>
        <v>7</v>
      </c>
      <c r="AN10" t="e">
        <v>#NAME?</v>
      </c>
      <c r="AP10" t="e">
        <v>#NAME?</v>
      </c>
      <c r="AQ10" s="10" t="e">
        <v>#NAME?</v>
      </c>
    </row>
    <row r="11">
      <c r="A11">
        <v>1940</v>
      </c>
      <c r="B11">
        <v>438288</v>
      </c>
      <c r="C11">
        <v>3640</v>
      </c>
      <c r="I11">
        <f t="shared" ref="I11:I43" si="1685">I10+1</f>
        <v>8</v>
      </c>
      <c r="J11" t="e">
        <v>#NAME?</v>
      </c>
      <c r="L11" t="e">
        <v>#NAME?</v>
      </c>
      <c r="M11" s="44" t="e">
        <v>#NAME?</v>
      </c>
      <c r="O11">
        <f t="shared" ref="O11:O43" si="1686">O10+1</f>
        <v>8</v>
      </c>
      <c r="P11" t="e">
        <v>#NAME?</v>
      </c>
      <c r="R11" t="e">
        <v>#NAME?</v>
      </c>
      <c r="S11" s="44" t="e">
        <v>#NAME?</v>
      </c>
      <c r="U11">
        <f t="shared" ref="U11:U45" si="1687">U10+1</f>
        <v>8</v>
      </c>
      <c r="V11" t="e">
        <v>#NAME?</v>
      </c>
      <c r="X11" t="e">
        <v>#NAME?</v>
      </c>
      <c r="Y11" s="44" t="e">
        <v>#NAME?</v>
      </c>
      <c r="AA11">
        <f t="shared" ref="AA11:AA45" si="1688">AA10+1</f>
        <v>8</v>
      </c>
      <c r="AB11" t="e">
        <v>#NAME?</v>
      </c>
      <c r="AD11" t="e">
        <v>#NAME?</v>
      </c>
      <c r="AE11" s="44" t="e">
        <v>#NAME?</v>
      </c>
      <c r="AG11">
        <f t="shared" ref="AG11:AG45" si="1689">AG10+1</f>
        <v>8</v>
      </c>
      <c r="AH11" t="e">
        <v>#NAME?</v>
      </c>
      <c r="AJ11" t="e">
        <v>#NAME?</v>
      </c>
      <c r="AK11" s="44" t="e">
        <v>#NAME?</v>
      </c>
      <c r="AM11">
        <f t="shared" ref="AM11:AM45" si="1690">AM10+1</f>
        <v>8</v>
      </c>
      <c r="AN11" t="e">
        <v>#NAME?</v>
      </c>
      <c r="AP11" t="e">
        <v>#NAME?</v>
      </c>
      <c r="AQ11" s="44" t="e">
        <v>#NAME?</v>
      </c>
    </row>
    <row r="12">
      <c r="A12">
        <v>1941</v>
      </c>
      <c r="B12">
        <v>422841</v>
      </c>
      <c r="C12">
        <v>3840</v>
      </c>
      <c r="I12">
        <f t="shared" si="1685"/>
        <v>9</v>
      </c>
      <c r="J12" t="e">
        <v>#NAME?</v>
      </c>
      <c r="L12" t="e">
        <v>#NAME?</v>
      </c>
      <c r="M12" s="10" t="e">
        <v>#NAME?</v>
      </c>
      <c r="O12">
        <f t="shared" si="1686"/>
        <v>9</v>
      </c>
      <c r="P12" t="e">
        <v>#NAME?</v>
      </c>
      <c r="R12" t="e">
        <v>#NAME?</v>
      </c>
      <c r="S12" s="10" t="e">
        <v>#NAME?</v>
      </c>
      <c r="U12">
        <f t="shared" si="1687"/>
        <v>9</v>
      </c>
      <c r="V12" t="e">
        <v>#NAME?</v>
      </c>
      <c r="X12" t="e">
        <v>#NAME?</v>
      </c>
      <c r="Y12" s="10" t="e">
        <v>#NAME?</v>
      </c>
      <c r="AA12">
        <f t="shared" si="1688"/>
        <v>9</v>
      </c>
      <c r="AB12" t="e">
        <v>#NAME?</v>
      </c>
      <c r="AD12" t="e">
        <v>#NAME?</v>
      </c>
      <c r="AE12" s="10" t="e">
        <v>#NAME?</v>
      </c>
      <c r="AG12">
        <f t="shared" si="1689"/>
        <v>9</v>
      </c>
      <c r="AH12" t="e">
        <v>#NAME?</v>
      </c>
      <c r="AJ12" t="e">
        <v>#NAME?</v>
      </c>
      <c r="AK12" s="10" t="e">
        <v>#NAME?</v>
      </c>
      <c r="AM12">
        <f t="shared" si="1690"/>
        <v>9</v>
      </c>
      <c r="AN12" t="e">
        <v>#NAME?</v>
      </c>
      <c r="AP12" t="e">
        <v>#NAME?</v>
      </c>
      <c r="AQ12" s="10" t="e">
        <v>#NAME?</v>
      </c>
    </row>
    <row r="13">
      <c r="A13">
        <v>1942</v>
      </c>
      <c r="B13">
        <v>476935</v>
      </c>
      <c r="C13">
        <v>4456</v>
      </c>
      <c r="I13">
        <f t="shared" si="1685"/>
        <v>10</v>
      </c>
      <c r="J13" t="e">
        <v>#NAME?</v>
      </c>
      <c r="L13" t="e">
        <v>#NAME?</v>
      </c>
      <c r="M13" s="10" t="e">
        <v>#NAME?</v>
      </c>
      <c r="O13">
        <f t="shared" si="1686"/>
        <v>10</v>
      </c>
      <c r="P13" t="e">
        <v>#NAME?</v>
      </c>
      <c r="R13" t="e">
        <v>#NAME?</v>
      </c>
      <c r="S13" s="10" t="e">
        <v>#NAME?</v>
      </c>
      <c r="U13">
        <f t="shared" si="1687"/>
        <v>10</v>
      </c>
      <c r="V13" t="e">
        <v>#NAME?</v>
      </c>
      <c r="X13" t="e">
        <v>#NAME?</v>
      </c>
      <c r="Y13" s="10" t="e">
        <v>#NAME?</v>
      </c>
      <c r="AA13">
        <f t="shared" si="1688"/>
        <v>10</v>
      </c>
      <c r="AB13" t="e">
        <v>#NAME?</v>
      </c>
      <c r="AD13" t="e">
        <v>#NAME?</v>
      </c>
      <c r="AE13" s="10" t="e">
        <v>#NAME?</v>
      </c>
      <c r="AG13">
        <f t="shared" si="1689"/>
        <v>10</v>
      </c>
      <c r="AH13" t="e">
        <v>#NAME?</v>
      </c>
      <c r="AJ13" t="e">
        <v>#NAME?</v>
      </c>
      <c r="AK13" s="10" t="e">
        <v>#NAME?</v>
      </c>
      <c r="AM13">
        <f t="shared" si="1690"/>
        <v>10</v>
      </c>
      <c r="AN13" t="e">
        <v>#NAME?</v>
      </c>
      <c r="AP13" t="e">
        <v>#NAME?</v>
      </c>
      <c r="AQ13" s="10" t="e">
        <v>#NAME?</v>
      </c>
    </row>
    <row r="14">
      <c r="A14">
        <v>1943</v>
      </c>
      <c r="B14">
        <v>542047</v>
      </c>
      <c r="C14">
        <v>5000</v>
      </c>
      <c r="I14">
        <f t="shared" si="1685"/>
        <v>11</v>
      </c>
      <c r="J14" t="e">
        <v>#NAME?</v>
      </c>
      <c r="L14" t="e">
        <v>#NAME?</v>
      </c>
      <c r="M14" s="10" t="e">
        <v>#NAME?</v>
      </c>
      <c r="O14">
        <f t="shared" si="1686"/>
        <v>11</v>
      </c>
      <c r="P14" t="e">
        <v>#NAME?</v>
      </c>
      <c r="R14" t="e">
        <v>#NAME?</v>
      </c>
      <c r="S14" s="10" t="e">
        <v>#NAME?</v>
      </c>
      <c r="U14">
        <f t="shared" si="1687"/>
        <v>11</v>
      </c>
      <c r="V14" t="e">
        <v>#NAME?</v>
      </c>
      <c r="X14" t="e">
        <v>#NAME?</v>
      </c>
      <c r="Y14" s="10" t="e">
        <v>#NAME?</v>
      </c>
      <c r="AA14">
        <f t="shared" si="1688"/>
        <v>11</v>
      </c>
      <c r="AB14" t="e">
        <v>#NAME?</v>
      </c>
      <c r="AD14" t="e">
        <v>#NAME?</v>
      </c>
      <c r="AE14" s="10" t="e">
        <v>#NAME?</v>
      </c>
      <c r="AG14">
        <f t="shared" si="1689"/>
        <v>11</v>
      </c>
      <c r="AH14" t="e">
        <v>#NAME?</v>
      </c>
      <c r="AJ14" t="e">
        <v>#NAME?</v>
      </c>
      <c r="AK14" s="10" t="e">
        <v>#NAME?</v>
      </c>
      <c r="AM14">
        <f t="shared" si="1690"/>
        <v>11</v>
      </c>
      <c r="AN14" t="e">
        <v>#NAME?</v>
      </c>
      <c r="AP14" t="e">
        <v>#NAME?</v>
      </c>
      <c r="AQ14" s="10" t="e">
        <v>#NAME?</v>
      </c>
    </row>
    <row r="15">
      <c r="A15">
        <v>1944</v>
      </c>
      <c r="B15">
        <v>582197</v>
      </c>
      <c r="C15">
        <v>5366</v>
      </c>
      <c r="I15">
        <f t="shared" si="1685"/>
        <v>12</v>
      </c>
      <c r="J15" t="e">
        <v>#NAME?</v>
      </c>
      <c r="L15" t="e">
        <v>#NAME?</v>
      </c>
      <c r="M15" s="10" t="e">
        <v>#NAME?</v>
      </c>
      <c r="O15">
        <f t="shared" si="1686"/>
        <v>12</v>
      </c>
      <c r="P15" t="e">
        <v>#NAME?</v>
      </c>
      <c r="R15" t="e">
        <v>#NAME?</v>
      </c>
      <c r="S15" s="10" t="e">
        <v>#NAME?</v>
      </c>
      <c r="U15">
        <f t="shared" si="1687"/>
        <v>12</v>
      </c>
      <c r="V15" t="e">
        <v>#NAME?</v>
      </c>
      <c r="X15" t="e">
        <v>#NAME?</v>
      </c>
      <c r="Y15" s="10" t="e">
        <v>#NAME?</v>
      </c>
      <c r="AA15">
        <f t="shared" si="1688"/>
        <v>12</v>
      </c>
      <c r="AB15" t="e">
        <v>#NAME?</v>
      </c>
      <c r="AD15" t="e">
        <v>#NAME?</v>
      </c>
      <c r="AE15" s="10" t="e">
        <v>#NAME?</v>
      </c>
      <c r="AG15">
        <f t="shared" si="1689"/>
        <v>12</v>
      </c>
      <c r="AH15" t="e">
        <v>#NAME?</v>
      </c>
      <c r="AJ15" t="e">
        <v>#NAME?</v>
      </c>
      <c r="AK15" s="10" t="e">
        <v>#NAME?</v>
      </c>
      <c r="AM15">
        <f t="shared" si="1690"/>
        <v>12</v>
      </c>
      <c r="AN15" t="e">
        <v>#NAME?</v>
      </c>
      <c r="AP15" t="e">
        <v>#NAME?</v>
      </c>
      <c r="AQ15" s="10" t="e">
        <v>#NAME?</v>
      </c>
    </row>
    <row r="16">
      <c r="A16">
        <v>1945</v>
      </c>
      <c r="B16">
        <v>516497</v>
      </c>
      <c r="C16">
        <v>5154</v>
      </c>
      <c r="I16">
        <f t="shared" si="1685"/>
        <v>13</v>
      </c>
      <c r="J16" t="e">
        <v>#NAME?</v>
      </c>
      <c r="L16" t="e">
        <v>#NAME?</v>
      </c>
      <c r="M16" s="21" t="e">
        <v>#NAME?</v>
      </c>
      <c r="O16">
        <f t="shared" si="1686"/>
        <v>13</v>
      </c>
      <c r="P16" t="e">
        <v>#NAME?</v>
      </c>
      <c r="R16" t="e">
        <v>#NAME?</v>
      </c>
      <c r="S16" s="21" t="e">
        <v>#NAME?</v>
      </c>
      <c r="U16">
        <f t="shared" si="1687"/>
        <v>13</v>
      </c>
      <c r="V16" t="e">
        <v>#NAME?</v>
      </c>
      <c r="X16" t="e">
        <v>#NAME?</v>
      </c>
      <c r="Y16" s="21" t="e">
        <v>#NAME?</v>
      </c>
      <c r="AA16">
        <f t="shared" si="1688"/>
        <v>13</v>
      </c>
      <c r="AB16" t="e">
        <v>#NAME?</v>
      </c>
      <c r="AD16" t="e">
        <v>#NAME?</v>
      </c>
      <c r="AE16" s="21" t="e">
        <v>#NAME?</v>
      </c>
      <c r="AG16">
        <f t="shared" si="1689"/>
        <v>13</v>
      </c>
      <c r="AH16" t="e">
        <v>#NAME?</v>
      </c>
      <c r="AJ16" t="e">
        <v>#NAME?</v>
      </c>
      <c r="AK16" s="21" t="e">
        <v>#NAME?</v>
      </c>
      <c r="AM16">
        <f t="shared" si="1690"/>
        <v>13</v>
      </c>
      <c r="AN16" t="e">
        <v>#NAME?</v>
      </c>
      <c r="AP16" t="e">
        <v>#NAME?</v>
      </c>
      <c r="AQ16" s="21" t="e">
        <v>#NAME?</v>
      </c>
    </row>
    <row r="17">
      <c r="A17">
        <v>1946</v>
      </c>
      <c r="B17">
        <v>523227</v>
      </c>
      <c r="C17">
        <v>5130</v>
      </c>
      <c r="I17">
        <f t="shared" si="1685"/>
        <v>14</v>
      </c>
      <c r="J17" t="e">
        <v>#NAME?</v>
      </c>
      <c r="O17">
        <f t="shared" si="1686"/>
        <v>14</v>
      </c>
      <c r="P17" t="e">
        <v>#NAME?</v>
      </c>
      <c r="U17">
        <f t="shared" si="1687"/>
        <v>14</v>
      </c>
      <c r="V17" t="e">
        <v>#NAME?</v>
      </c>
      <c r="AA17">
        <f t="shared" si="1688"/>
        <v>14</v>
      </c>
      <c r="AB17" t="e">
        <v>#NAME?</v>
      </c>
      <c r="AG17">
        <f t="shared" si="1689"/>
        <v>14</v>
      </c>
      <c r="AH17" t="e">
        <v>#NAME?</v>
      </c>
      <c r="AM17">
        <f t="shared" si="1690"/>
        <v>14</v>
      </c>
      <c r="AN17" t="e">
        <v>#NAME?</v>
      </c>
    </row>
    <row r="18">
      <c r="A18">
        <v>1947</v>
      </c>
      <c r="B18">
        <v>467217</v>
      </c>
      <c r="C18">
        <v>5077</v>
      </c>
      <c r="I18">
        <f t="shared" si="1685"/>
        <v>15</v>
      </c>
      <c r="J18" t="e">
        <v>#NAME?</v>
      </c>
      <c r="O18">
        <f t="shared" si="1686"/>
        <v>15</v>
      </c>
      <c r="P18" t="e">
        <v>#NAME?</v>
      </c>
      <c r="U18">
        <f t="shared" si="1687"/>
        <v>15</v>
      </c>
      <c r="V18" t="e">
        <v>#NAME?</v>
      </c>
      <c r="AA18">
        <f t="shared" si="1688"/>
        <v>15</v>
      </c>
      <c r="AB18" t="e">
        <v>#NAME?</v>
      </c>
      <c r="AG18">
        <f t="shared" si="1689"/>
        <v>15</v>
      </c>
      <c r="AH18" t="e">
        <v>#NAME?</v>
      </c>
      <c r="AM18">
        <f t="shared" si="1690"/>
        <v>15</v>
      </c>
      <c r="AN18" t="e">
        <v>#NAME?</v>
      </c>
    </row>
    <row r="19">
      <c r="A19">
        <v>1948</v>
      </c>
      <c r="B19">
        <v>499644</v>
      </c>
      <c r="C19">
        <v>5032</v>
      </c>
      <c r="I19">
        <f t="shared" si="1685"/>
        <v>16</v>
      </c>
      <c r="J19" t="e">
        <v>#NAME?</v>
      </c>
      <c r="O19">
        <f t="shared" si="1686"/>
        <v>16</v>
      </c>
      <c r="P19" t="e">
        <v>#NAME?</v>
      </c>
      <c r="U19">
        <f t="shared" si="1687"/>
        <v>16</v>
      </c>
      <c r="V19" t="e">
        <v>#NAME?</v>
      </c>
      <c r="AA19">
        <f t="shared" si="1688"/>
        <v>16</v>
      </c>
      <c r="AB19" t="e">
        <v>#NAME?</v>
      </c>
      <c r="AG19">
        <f t="shared" si="1689"/>
        <v>16</v>
      </c>
      <c r="AH19" t="e">
        <v>#NAME?</v>
      </c>
      <c r="AM19">
        <f t="shared" si="1690"/>
        <v>16</v>
      </c>
      <c r="AN19" t="e">
        <v>#NAME?</v>
      </c>
    </row>
    <row r="20">
      <c r="A20">
        <v>1949</v>
      </c>
      <c r="B20">
        <v>430876</v>
      </c>
      <c r="C20">
        <v>5148</v>
      </c>
      <c r="I20">
        <f t="shared" si="1685"/>
        <v>17</v>
      </c>
      <c r="J20" t="e">
        <v>#NAME?</v>
      </c>
      <c r="O20">
        <f t="shared" si="1686"/>
        <v>17</v>
      </c>
      <c r="P20" t="e">
        <v>#NAME?</v>
      </c>
      <c r="U20">
        <f t="shared" si="1687"/>
        <v>17</v>
      </c>
      <c r="V20" t="e">
        <v>#NAME?</v>
      </c>
      <c r="AA20">
        <f t="shared" si="1688"/>
        <v>17</v>
      </c>
      <c r="AB20" t="e">
        <v>#NAME?</v>
      </c>
      <c r="AG20">
        <f t="shared" si="1689"/>
        <v>17</v>
      </c>
      <c r="AH20" t="e">
        <v>#NAME?</v>
      </c>
      <c r="AM20">
        <f t="shared" si="1690"/>
        <v>17</v>
      </c>
      <c r="AN20" t="e">
        <v>#NAME?</v>
      </c>
    </row>
    <row r="21">
      <c r="A21">
        <v>1950</v>
      </c>
      <c r="B21">
        <v>456549</v>
      </c>
      <c r="C21">
        <v>5404</v>
      </c>
      <c r="I21">
        <f t="shared" si="1685"/>
        <v>18</v>
      </c>
      <c r="J21" t="e">
        <v>#NAME?</v>
      </c>
      <c r="O21">
        <f t="shared" si="1686"/>
        <v>18</v>
      </c>
      <c r="P21" t="e">
        <v>#NAME?</v>
      </c>
      <c r="U21">
        <f t="shared" si="1687"/>
        <v>18</v>
      </c>
      <c r="V21" t="e">
        <v>#NAME?</v>
      </c>
      <c r="AA21">
        <f t="shared" si="1688"/>
        <v>18</v>
      </c>
      <c r="AB21" t="e">
        <v>#NAME?</v>
      </c>
      <c r="AG21">
        <f t="shared" si="1689"/>
        <v>18</v>
      </c>
      <c r="AH21" t="e">
        <v>#NAME?</v>
      </c>
      <c r="AM21">
        <f t="shared" si="1690"/>
        <v>18</v>
      </c>
      <c r="AN21" t="e">
        <v>#NAME?</v>
      </c>
    </row>
    <row r="22">
      <c r="A22">
        <v>1951</v>
      </c>
      <c r="B22">
        <v>430988</v>
      </c>
      <c r="C22">
        <v>5322</v>
      </c>
      <c r="I22">
        <f t="shared" si="1685"/>
        <v>19</v>
      </c>
      <c r="J22" t="e">
        <v>#NAME?</v>
      </c>
      <c r="O22">
        <f t="shared" si="1686"/>
        <v>19</v>
      </c>
      <c r="P22" t="e">
        <v>#NAME?</v>
      </c>
      <c r="U22">
        <f t="shared" si="1687"/>
        <v>19</v>
      </c>
      <c r="V22" t="e">
        <v>#NAME?</v>
      </c>
      <c r="AA22">
        <f t="shared" si="1688"/>
        <v>19</v>
      </c>
      <c r="AB22" t="e">
        <v>#NAME?</v>
      </c>
      <c r="AG22">
        <f t="shared" si="1689"/>
        <v>19</v>
      </c>
      <c r="AH22" t="e">
        <v>#NAME?</v>
      </c>
      <c r="AM22">
        <f t="shared" si="1690"/>
        <v>19</v>
      </c>
      <c r="AN22" t="e">
        <v>#NAME?</v>
      </c>
    </row>
    <row r="23">
      <c r="A23">
        <v>1952</v>
      </c>
      <c r="B23">
        <v>426555</v>
      </c>
      <c r="C23">
        <v>5323</v>
      </c>
      <c r="I23">
        <f t="shared" si="1685"/>
        <v>20</v>
      </c>
      <c r="J23" t="e">
        <v>#NAME?</v>
      </c>
      <c r="O23">
        <f t="shared" si="1686"/>
        <v>20</v>
      </c>
      <c r="P23" t="e">
        <v>#NAME?</v>
      </c>
      <c r="U23">
        <f t="shared" si="1687"/>
        <v>20</v>
      </c>
      <c r="V23" t="e">
        <v>#NAME?</v>
      </c>
      <c r="AA23">
        <f t="shared" si="1688"/>
        <v>20</v>
      </c>
      <c r="AB23" t="e">
        <v>#NAME?</v>
      </c>
      <c r="AG23">
        <f t="shared" si="1689"/>
        <v>20</v>
      </c>
      <c r="AH23" t="e">
        <v>#NAME?</v>
      </c>
      <c r="AM23">
        <f t="shared" si="1690"/>
        <v>20</v>
      </c>
      <c r="AN23" t="e">
        <v>#NAME?</v>
      </c>
    </row>
    <row r="24">
      <c r="A24">
        <v>1953</v>
      </c>
      <c r="B24">
        <v>398156</v>
      </c>
      <c r="C24">
        <v>5307</v>
      </c>
      <c r="I24">
        <f t="shared" si="1685"/>
        <v>21</v>
      </c>
      <c r="J24" t="e">
        <v>#NAME?</v>
      </c>
      <c r="O24">
        <f t="shared" si="1686"/>
        <v>21</v>
      </c>
      <c r="P24" t="e">
        <v>#NAME?</v>
      </c>
      <c r="U24">
        <f t="shared" si="1687"/>
        <v>21</v>
      </c>
      <c r="V24" t="e">
        <v>#NAME?</v>
      </c>
      <c r="AA24">
        <f t="shared" si="1688"/>
        <v>21</v>
      </c>
      <c r="AB24" t="e">
        <v>#NAME?</v>
      </c>
      <c r="AG24">
        <f t="shared" si="1689"/>
        <v>21</v>
      </c>
      <c r="AH24" t="e">
        <v>#NAME?</v>
      </c>
      <c r="AM24">
        <f t="shared" si="1690"/>
        <v>21</v>
      </c>
      <c r="AN24" t="e">
        <v>#NAME?</v>
      </c>
    </row>
    <row r="25">
      <c r="A25">
        <v>1954</v>
      </c>
      <c r="B25">
        <v>396776</v>
      </c>
      <c r="C25">
        <v>5402</v>
      </c>
      <c r="I25">
        <f t="shared" si="1685"/>
        <v>22</v>
      </c>
      <c r="J25" t="e">
        <v>#NAME?</v>
      </c>
      <c r="O25">
        <f t="shared" si="1686"/>
        <v>22</v>
      </c>
      <c r="P25" t="e">
        <v>#NAME?</v>
      </c>
      <c r="U25">
        <f t="shared" si="1687"/>
        <v>22</v>
      </c>
      <c r="V25" t="e">
        <v>#NAME?</v>
      </c>
      <c r="AA25">
        <f t="shared" si="1688"/>
        <v>22</v>
      </c>
      <c r="AB25" t="e">
        <v>#NAME?</v>
      </c>
      <c r="AG25">
        <f t="shared" si="1689"/>
        <v>22</v>
      </c>
      <c r="AH25" t="e">
        <v>#NAME?</v>
      </c>
      <c r="AM25">
        <f t="shared" si="1690"/>
        <v>22</v>
      </c>
      <c r="AN25" t="e">
        <v>#NAME?</v>
      </c>
    </row>
    <row r="26">
      <c r="A26">
        <v>1955</v>
      </c>
      <c r="B26">
        <v>390708</v>
      </c>
      <c r="C26">
        <v>5407</v>
      </c>
      <c r="I26">
        <f t="shared" si="1685"/>
        <v>23</v>
      </c>
      <c r="J26" t="e">
        <v>#NAME?</v>
      </c>
      <c r="O26">
        <f t="shared" si="1686"/>
        <v>23</v>
      </c>
      <c r="P26" t="e">
        <v>#NAME?</v>
      </c>
      <c r="U26">
        <f t="shared" si="1687"/>
        <v>23</v>
      </c>
      <c r="V26" t="e">
        <v>#NAME?</v>
      </c>
      <c r="AA26">
        <f t="shared" si="1688"/>
        <v>23</v>
      </c>
      <c r="AB26" t="e">
        <v>#NAME?</v>
      </c>
      <c r="AG26">
        <f t="shared" si="1689"/>
        <v>23</v>
      </c>
      <c r="AH26" t="e">
        <v>#NAME?</v>
      </c>
      <c r="AM26">
        <f t="shared" si="1690"/>
        <v>23</v>
      </c>
      <c r="AN26" t="e">
        <v>#NAME?</v>
      </c>
    </row>
    <row r="27">
      <c r="A27">
        <v>1956</v>
      </c>
      <c r="B27">
        <v>383690</v>
      </c>
      <c r="C27">
        <v>5500</v>
      </c>
      <c r="I27">
        <f t="shared" si="1685"/>
        <v>24</v>
      </c>
      <c r="J27" t="e">
        <v>#NAME?</v>
      </c>
      <c r="O27">
        <f t="shared" si="1686"/>
        <v>24</v>
      </c>
      <c r="P27" t="e">
        <v>#NAME?</v>
      </c>
      <c r="U27">
        <f t="shared" si="1687"/>
        <v>24</v>
      </c>
      <c r="V27" t="e">
        <v>#NAME?</v>
      </c>
      <c r="AA27">
        <f t="shared" si="1688"/>
        <v>24</v>
      </c>
      <c r="AB27" t="e">
        <v>#NAME?</v>
      </c>
      <c r="AG27">
        <f t="shared" si="1689"/>
        <v>24</v>
      </c>
      <c r="AH27" t="e">
        <v>#NAME?</v>
      </c>
      <c r="AM27">
        <f t="shared" si="1690"/>
        <v>24</v>
      </c>
      <c r="AN27" t="e">
        <v>#NAME?</v>
      </c>
    </row>
    <row r="28">
      <c r="A28">
        <v>1957</v>
      </c>
      <c r="B28">
        <v>391363</v>
      </c>
      <c r="C28">
        <v>5442</v>
      </c>
      <c r="I28">
        <f t="shared" si="1685"/>
        <v>25</v>
      </c>
      <c r="J28" t="e">
        <v>#NAME?</v>
      </c>
      <c r="O28">
        <f t="shared" si="1686"/>
        <v>25</v>
      </c>
      <c r="P28" t="e">
        <v>#NAME?</v>
      </c>
      <c r="U28">
        <f t="shared" si="1687"/>
        <v>25</v>
      </c>
      <c r="V28" t="e">
        <v>#NAME?</v>
      </c>
      <c r="AA28">
        <f t="shared" si="1688"/>
        <v>25</v>
      </c>
      <c r="AB28" t="e">
        <v>#NAME?</v>
      </c>
      <c r="AG28">
        <f t="shared" si="1689"/>
        <v>25</v>
      </c>
      <c r="AH28" t="e">
        <v>#NAME?</v>
      </c>
      <c r="AM28">
        <f t="shared" si="1690"/>
        <v>25</v>
      </c>
      <c r="AN28" t="e">
        <v>#NAME?</v>
      </c>
    </row>
    <row r="29">
      <c r="A29">
        <v>1958</v>
      </c>
      <c r="B29">
        <v>374281</v>
      </c>
      <c r="C29">
        <v>5442</v>
      </c>
      <c r="I29">
        <f t="shared" si="1685"/>
        <v>26</v>
      </c>
      <c r="J29" t="e">
        <v>#NAME?</v>
      </c>
      <c r="O29">
        <f t="shared" si="1686"/>
        <v>26</v>
      </c>
      <c r="P29" t="e">
        <v>#NAME?</v>
      </c>
      <c r="U29">
        <f t="shared" si="1687"/>
        <v>26</v>
      </c>
      <c r="V29" t="e">
        <v>#NAME?</v>
      </c>
      <c r="AA29">
        <f t="shared" si="1688"/>
        <v>26</v>
      </c>
      <c r="AB29" t="e">
        <v>#NAME?</v>
      </c>
      <c r="AG29">
        <f t="shared" si="1689"/>
        <v>26</v>
      </c>
      <c r="AH29" t="e">
        <v>#NAME?</v>
      </c>
      <c r="AM29">
        <f t="shared" si="1690"/>
        <v>26</v>
      </c>
      <c r="AN29" t="e">
        <v>#NAME?</v>
      </c>
    </row>
    <row r="30">
      <c r="A30">
        <v>1959</v>
      </c>
      <c r="B30">
        <v>387002</v>
      </c>
      <c r="C30">
        <v>5542</v>
      </c>
      <c r="I30">
        <f t="shared" si="1685"/>
        <v>27</v>
      </c>
      <c r="J30" t="e">
        <v>#NAME?</v>
      </c>
      <c r="O30">
        <f t="shared" si="1686"/>
        <v>27</v>
      </c>
      <c r="P30" t="e">
        <v>#NAME?</v>
      </c>
      <c r="U30">
        <f t="shared" si="1687"/>
        <v>27</v>
      </c>
      <c r="V30" t="e">
        <v>#NAME?</v>
      </c>
      <c r="AA30">
        <f t="shared" si="1688"/>
        <v>27</v>
      </c>
      <c r="AB30" t="e">
        <v>#NAME?</v>
      </c>
      <c r="AG30">
        <f t="shared" si="1689"/>
        <v>27</v>
      </c>
      <c r="AH30" t="e">
        <v>#NAME?</v>
      </c>
      <c r="AM30">
        <f t="shared" si="1690"/>
        <v>27</v>
      </c>
      <c r="AN30" t="e">
        <v>#NAME?</v>
      </c>
    </row>
    <row r="31">
      <c r="A31">
        <v>1960</v>
      </c>
      <c r="B31">
        <v>369484</v>
      </c>
      <c r="C31">
        <v>5339</v>
      </c>
      <c r="I31">
        <f t="shared" si="1685"/>
        <v>28</v>
      </c>
      <c r="J31" t="e">
        <v>#NAME?</v>
      </c>
      <c r="O31">
        <f t="shared" si="1686"/>
        <v>28</v>
      </c>
      <c r="P31" t="e">
        <v>#NAME?</v>
      </c>
      <c r="U31">
        <f t="shared" si="1687"/>
        <v>28</v>
      </c>
      <c r="V31" t="e">
        <v>#NAME?</v>
      </c>
      <c r="AA31">
        <f t="shared" si="1688"/>
        <v>28</v>
      </c>
      <c r="AB31" t="e">
        <v>#NAME?</v>
      </c>
      <c r="AG31">
        <f t="shared" si="1689"/>
        <v>28</v>
      </c>
      <c r="AH31" t="e">
        <v>#NAME?</v>
      </c>
      <c r="AM31">
        <f t="shared" si="1690"/>
        <v>28</v>
      </c>
      <c r="AN31" t="e">
        <v>#NAME?</v>
      </c>
    </row>
    <row r="32">
      <c r="A32">
        <v>1961</v>
      </c>
      <c r="B32">
        <v>366082</v>
      </c>
      <c r="C32">
        <v>5358</v>
      </c>
      <c r="I32">
        <f t="shared" si="1685"/>
        <v>29</v>
      </c>
      <c r="J32" t="e">
        <v>#NAME?</v>
      </c>
      <c r="O32">
        <f t="shared" si="1686"/>
        <v>29</v>
      </c>
      <c r="P32" t="e">
        <v>#NAME?</v>
      </c>
      <c r="U32">
        <f t="shared" si="1687"/>
        <v>29</v>
      </c>
      <c r="V32" t="e">
        <v>#NAME?</v>
      </c>
      <c r="AA32">
        <f t="shared" si="1688"/>
        <v>29</v>
      </c>
      <c r="AB32" t="e">
        <v>#NAME?</v>
      </c>
      <c r="AG32">
        <f t="shared" si="1689"/>
        <v>29</v>
      </c>
      <c r="AH32" t="e">
        <v>#NAME?</v>
      </c>
      <c r="AM32">
        <f t="shared" si="1690"/>
        <v>29</v>
      </c>
      <c r="AN32" t="e">
        <v>#NAME?</v>
      </c>
    </row>
    <row r="33">
      <c r="A33">
        <v>1962</v>
      </c>
      <c r="B33">
        <v>377392</v>
      </c>
      <c r="C33">
        <v>5403</v>
      </c>
      <c r="I33">
        <f t="shared" si="1685"/>
        <v>30</v>
      </c>
      <c r="J33" t="e">
        <v>#NAME?</v>
      </c>
      <c r="O33">
        <f t="shared" si="1686"/>
        <v>30</v>
      </c>
      <c r="P33" t="e">
        <v>#NAME?</v>
      </c>
      <c r="U33">
        <f t="shared" si="1687"/>
        <v>30</v>
      </c>
      <c r="V33" t="e">
        <v>#NAME?</v>
      </c>
      <c r="AA33">
        <f t="shared" si="1688"/>
        <v>30</v>
      </c>
      <c r="AB33" t="e">
        <v>#NAME?</v>
      </c>
      <c r="AG33">
        <f t="shared" si="1689"/>
        <v>30</v>
      </c>
      <c r="AH33" t="e">
        <v>#NAME?</v>
      </c>
      <c r="AM33">
        <f t="shared" si="1690"/>
        <v>30</v>
      </c>
      <c r="AN33" t="e">
        <v>#NAME?</v>
      </c>
    </row>
    <row r="34">
      <c r="A34">
        <v>1963</v>
      </c>
      <c r="B34">
        <v>375575</v>
      </c>
      <c r="C34">
        <v>5345</v>
      </c>
      <c r="I34">
        <f t="shared" si="1685"/>
        <v>31</v>
      </c>
      <c r="J34" t="e">
        <v>#NAME?</v>
      </c>
      <c r="O34">
        <f t="shared" si="1686"/>
        <v>31</v>
      </c>
      <c r="P34" t="e">
        <v>#NAME?</v>
      </c>
      <c r="U34">
        <f t="shared" si="1687"/>
        <v>31</v>
      </c>
      <c r="V34" t="e">
        <v>#NAME?</v>
      </c>
      <c r="AA34">
        <f t="shared" si="1688"/>
        <v>31</v>
      </c>
      <c r="AB34" t="e">
        <v>#NAME?</v>
      </c>
      <c r="AG34">
        <f t="shared" si="1689"/>
        <v>31</v>
      </c>
      <c r="AH34" t="e">
        <v>#NAME?</v>
      </c>
      <c r="AM34">
        <f t="shared" si="1690"/>
        <v>31</v>
      </c>
      <c r="AN34" t="e">
        <v>#NAME?</v>
      </c>
    </row>
    <row r="35">
      <c r="A35">
        <v>1964</v>
      </c>
      <c r="B35">
        <v>382262</v>
      </c>
      <c r="C35">
        <v>5435</v>
      </c>
      <c r="I35">
        <f t="shared" si="1685"/>
        <v>32</v>
      </c>
      <c r="J35" t="e">
        <v>#NAME?</v>
      </c>
      <c r="O35">
        <f t="shared" si="1686"/>
        <v>32</v>
      </c>
      <c r="P35" t="e">
        <v>#NAME?</v>
      </c>
      <c r="U35">
        <f t="shared" si="1687"/>
        <v>32</v>
      </c>
      <c r="V35" t="e">
        <v>#NAME?</v>
      </c>
      <c r="AA35">
        <f t="shared" si="1688"/>
        <v>32</v>
      </c>
      <c r="AB35" t="e">
        <v>#NAME?</v>
      </c>
      <c r="AG35">
        <f t="shared" si="1689"/>
        <v>32</v>
      </c>
      <c r="AH35" t="e">
        <v>#NAME?</v>
      </c>
      <c r="AM35">
        <f t="shared" si="1690"/>
        <v>32</v>
      </c>
      <c r="AN35" t="e">
        <v>#NAME?</v>
      </c>
    </row>
    <row r="36">
      <c r="A36">
        <v>1965</v>
      </c>
      <c r="B36">
        <v>394118</v>
      </c>
      <c r="C36">
        <v>5474</v>
      </c>
      <c r="I36">
        <f t="shared" si="1685"/>
        <v>33</v>
      </c>
      <c r="J36" t="e">
        <v>#NAME?</v>
      </c>
      <c r="O36">
        <f t="shared" si="1686"/>
        <v>33</v>
      </c>
      <c r="P36" t="e">
        <v>#NAME?</v>
      </c>
      <c r="U36">
        <f t="shared" si="1687"/>
        <v>33</v>
      </c>
      <c r="V36" t="e">
        <v>#NAME?</v>
      </c>
      <c r="AA36">
        <f t="shared" si="1688"/>
        <v>33</v>
      </c>
      <c r="AB36" t="e">
        <v>#NAME?</v>
      </c>
      <c r="AG36">
        <f t="shared" si="1689"/>
        <v>33</v>
      </c>
      <c r="AH36" t="e">
        <v>#NAME?</v>
      </c>
      <c r="AM36">
        <f t="shared" si="1690"/>
        <v>33</v>
      </c>
      <c r="AN36" t="e">
        <v>#NAME?</v>
      </c>
    </row>
    <row r="37">
      <c r="A37">
        <v>1966</v>
      </c>
      <c r="B37">
        <v>393019</v>
      </c>
      <c r="C37">
        <v>5540</v>
      </c>
      <c r="I37">
        <f t="shared" si="1685"/>
        <v>34</v>
      </c>
      <c r="J37" t="e">
        <v>#NAME?</v>
      </c>
      <c r="O37">
        <f t="shared" si="1686"/>
        <v>34</v>
      </c>
      <c r="P37" t="e">
        <v>#NAME?</v>
      </c>
      <c r="U37">
        <f t="shared" si="1687"/>
        <v>34</v>
      </c>
      <c r="V37" t="e">
        <v>#NAME?</v>
      </c>
      <c r="AA37">
        <f t="shared" si="1688"/>
        <v>34</v>
      </c>
      <c r="AB37" t="e">
        <v>#NAME?</v>
      </c>
      <c r="AG37">
        <f t="shared" si="1689"/>
        <v>34</v>
      </c>
      <c r="AH37" t="e">
        <v>#NAME?</v>
      </c>
      <c r="AM37">
        <f t="shared" si="1690"/>
        <v>34</v>
      </c>
      <c r="AN37" t="e">
        <v>#NAME?</v>
      </c>
    </row>
    <row r="38">
      <c r="A38">
        <v>1967</v>
      </c>
      <c r="B38">
        <v>428746</v>
      </c>
      <c r="C38">
        <v>5836</v>
      </c>
      <c r="I38">
        <f t="shared" si="1685"/>
        <v>35</v>
      </c>
      <c r="J38" t="e">
        <v>#NAME?</v>
      </c>
      <c r="O38">
        <f t="shared" si="1686"/>
        <v>35</v>
      </c>
      <c r="P38" t="e">
        <v>#NAME?</v>
      </c>
      <c r="U38">
        <f t="shared" si="1687"/>
        <v>35</v>
      </c>
      <c r="V38" t="e">
        <v>#NAME?</v>
      </c>
      <c r="AA38">
        <f t="shared" si="1688"/>
        <v>35</v>
      </c>
      <c r="AB38" t="e">
        <v>#NAME?</v>
      </c>
      <c r="AG38">
        <f t="shared" si="1689"/>
        <v>35</v>
      </c>
      <c r="AH38" t="e">
        <v>#NAME?</v>
      </c>
      <c r="AM38">
        <f t="shared" si="1690"/>
        <v>35</v>
      </c>
      <c r="AN38" t="e">
        <v>#NAME?</v>
      </c>
    </row>
    <row r="39">
      <c r="A39">
        <v>1968</v>
      </c>
      <c r="B39">
        <v>425158</v>
      </c>
      <c r="C39">
        <v>5777</v>
      </c>
      <c r="I39">
        <f t="shared" si="1685"/>
        <v>36</v>
      </c>
      <c r="J39" t="e">
        <v>#NAME?</v>
      </c>
      <c r="O39">
        <f t="shared" si="1686"/>
        <v>36</v>
      </c>
      <c r="P39" t="e">
        <v>#NAME?</v>
      </c>
      <c r="U39">
        <f t="shared" si="1687"/>
        <v>36</v>
      </c>
      <c r="V39" t="e">
        <v>#NAME?</v>
      </c>
      <c r="AA39">
        <f t="shared" si="1688"/>
        <v>36</v>
      </c>
      <c r="AB39" t="e">
        <v>#NAME?</v>
      </c>
      <c r="AG39">
        <f t="shared" si="1689"/>
        <v>36</v>
      </c>
      <c r="AH39" t="e">
        <v>#NAME?</v>
      </c>
      <c r="AM39">
        <f t="shared" si="1690"/>
        <v>36</v>
      </c>
      <c r="AN39" t="e">
        <v>#NAME?</v>
      </c>
    </row>
    <row r="40">
      <c r="A40">
        <v>1969</v>
      </c>
      <c r="B40">
        <v>422096</v>
      </c>
      <c r="C40">
        <v>5629</v>
      </c>
      <c r="I40">
        <f t="shared" si="1685"/>
        <v>37</v>
      </c>
      <c r="J40" t="e">
        <v>#NAME?</v>
      </c>
      <c r="O40">
        <f t="shared" si="1686"/>
        <v>37</v>
      </c>
      <c r="P40" t="e">
        <v>#NAME?</v>
      </c>
      <c r="U40">
        <f t="shared" si="1687"/>
        <v>37</v>
      </c>
      <c r="V40" t="e">
        <v>#NAME?</v>
      </c>
      <c r="AA40">
        <f t="shared" si="1688"/>
        <v>37</v>
      </c>
      <c r="AB40" t="e">
        <v>#NAME?</v>
      </c>
      <c r="AG40">
        <f t="shared" si="1689"/>
        <v>37</v>
      </c>
      <c r="AH40" t="e">
        <v>#NAME?</v>
      </c>
      <c r="AM40">
        <f t="shared" si="1690"/>
        <v>37</v>
      </c>
      <c r="AN40" t="e">
        <v>#NAME?</v>
      </c>
    </row>
    <row r="41">
      <c r="A41" s="14">
        <v>1970</v>
      </c>
      <c r="B41" s="14">
        <v>433280</v>
      </c>
      <c r="C41" s="14">
        <v>5704</v>
      </c>
      <c r="I41">
        <f t="shared" si="1685"/>
        <v>38</v>
      </c>
      <c r="J41" t="e">
        <v>#NAME?</v>
      </c>
      <c r="O41">
        <f t="shared" si="1686"/>
        <v>38</v>
      </c>
      <c r="P41" t="e">
        <v>#NAME?</v>
      </c>
      <c r="U41">
        <f t="shared" si="1687"/>
        <v>38</v>
      </c>
      <c r="V41" t="e">
        <v>#NAME?</v>
      </c>
      <c r="AA41">
        <f t="shared" si="1688"/>
        <v>38</v>
      </c>
      <c r="AB41" t="e">
        <v>#NAME?</v>
      </c>
      <c r="AG41">
        <f t="shared" si="1689"/>
        <v>38</v>
      </c>
      <c r="AH41" t="e">
        <v>#NAME?</v>
      </c>
      <c r="AM41">
        <f t="shared" si="1690"/>
        <v>38</v>
      </c>
      <c r="AN41" t="e">
        <v>#NAME?</v>
      </c>
    </row>
    <row r="42">
      <c r="I42">
        <f t="shared" si="1685"/>
        <v>39</v>
      </c>
      <c r="J42" t="e">
        <v>#NAME?</v>
      </c>
      <c r="O42">
        <f t="shared" si="1686"/>
        <v>39</v>
      </c>
      <c r="P42" t="e">
        <v>#NAME?</v>
      </c>
      <c r="U42">
        <f t="shared" si="1687"/>
        <v>39</v>
      </c>
      <c r="V42" t="e">
        <v>#NAME?</v>
      </c>
      <c r="AA42">
        <f t="shared" si="1688"/>
        <v>39</v>
      </c>
      <c r="AB42" t="e">
        <v>#NAME?</v>
      </c>
      <c r="AG42">
        <f t="shared" si="1689"/>
        <v>39</v>
      </c>
      <c r="AH42" t="e">
        <v>#NAME?</v>
      </c>
      <c r="AM42">
        <f t="shared" si="1690"/>
        <v>39</v>
      </c>
      <c r="AN42" t="e">
        <v>#NAME?</v>
      </c>
    </row>
    <row r="43">
      <c r="I43" s="14">
        <f t="shared" si="1685"/>
        <v>40</v>
      </c>
      <c r="J43" s="14" t="e">
        <v>#NAME?</v>
      </c>
      <c r="O43" s="14">
        <f t="shared" si="1686"/>
        <v>40</v>
      </c>
      <c r="P43" s="14" t="e">
        <v>#NAME?</v>
      </c>
      <c r="U43">
        <f t="shared" si="1687"/>
        <v>40</v>
      </c>
      <c r="V43" t="e">
        <v>#NAME?</v>
      </c>
      <c r="AA43">
        <f t="shared" si="1688"/>
        <v>40</v>
      </c>
      <c r="AB43" t="e">
        <v>#NAME?</v>
      </c>
      <c r="AG43">
        <f t="shared" si="1689"/>
        <v>40</v>
      </c>
      <c r="AH43" t="e">
        <v>#NAME?</v>
      </c>
      <c r="AM43">
        <f t="shared" si="1690"/>
        <v>40</v>
      </c>
      <c r="AN43" t="e">
        <v>#NAME?</v>
      </c>
    </row>
    <row r="44">
      <c r="U44">
        <f t="shared" si="1687"/>
        <v>41</v>
      </c>
      <c r="V44" t="e">
        <v>#NAME?</v>
      </c>
      <c r="AA44">
        <f t="shared" si="1688"/>
        <v>41</v>
      </c>
      <c r="AB44" t="e">
        <v>#NAME?</v>
      </c>
      <c r="AG44">
        <f t="shared" si="1689"/>
        <v>41</v>
      </c>
      <c r="AH44" t="e">
        <v>#NAME?</v>
      </c>
      <c r="AM44">
        <f t="shared" si="1690"/>
        <v>41</v>
      </c>
      <c r="AN44" t="e">
        <v>#NAME?</v>
      </c>
    </row>
    <row r="45">
      <c r="U45" s="14">
        <f t="shared" si="1687"/>
        <v>42</v>
      </c>
      <c r="V45" s="14" t="e">
        <v>#NAME?</v>
      </c>
      <c r="AA45" s="14">
        <f t="shared" si="1688"/>
        <v>42</v>
      </c>
      <c r="AB45" s="14" t="e">
        <v>#NAME?</v>
      </c>
      <c r="AG45" s="14">
        <f t="shared" si="1689"/>
        <v>42</v>
      </c>
      <c r="AH45" s="14" t="e">
        <v>#NAME?</v>
      </c>
      <c r="AM45" s="14">
        <f t="shared" si="1690"/>
        <v>42</v>
      </c>
      <c r="AN45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L1" zoomScale="100" workbookViewId="0">
      <selection activeCell="AE23" activeCellId="0" sqref="AE23"/>
    </sheetView>
  </sheetViews>
  <sheetFormatPr defaultRowHeight="14.25"/>
  <cols>
    <col hidden="1" min="14" max="16" width="8.6696430000000007"/>
    <col customWidth="1" min="17" max="17" width="5.1785709999999998"/>
  </cols>
  <sheetData>
    <row r="1">
      <c r="A1" s="17" t="s">
        <v>616</v>
      </c>
      <c r="B1" s="17" t="s">
        <v>617</v>
      </c>
      <c r="C1" s="17" t="s">
        <v>618</v>
      </c>
      <c r="F1" s="15" t="s">
        <v>619</v>
      </c>
      <c r="G1" s="15" t="s">
        <v>620</v>
      </c>
      <c r="I1" t="s">
        <v>351</v>
      </c>
      <c r="J1">
        <v>0</v>
      </c>
      <c r="L1" t="s">
        <v>354</v>
      </c>
      <c r="M1" s="15" t="s">
        <v>617</v>
      </c>
      <c r="O1" t="s">
        <v>351</v>
      </c>
      <c r="P1">
        <v>0</v>
      </c>
      <c r="R1" t="s">
        <v>354</v>
      </c>
      <c r="S1" s="15" t="s">
        <v>618</v>
      </c>
      <c r="U1" t="s">
        <v>351</v>
      </c>
      <c r="V1">
        <v>0</v>
      </c>
      <c r="X1" t="s">
        <v>354</v>
      </c>
      <c r="Y1" s="31" t="s">
        <v>617</v>
      </c>
      <c r="AA1" t="s">
        <v>351</v>
      </c>
      <c r="AB1">
        <v>0</v>
      </c>
      <c r="AD1" t="s">
        <v>354</v>
      </c>
      <c r="AE1" s="31" t="s">
        <v>618</v>
      </c>
      <c r="AG1" t="s">
        <v>351</v>
      </c>
      <c r="AH1">
        <v>0</v>
      </c>
      <c r="AJ1" t="s">
        <v>354</v>
      </c>
      <c r="AM1" t="s">
        <v>351</v>
      </c>
      <c r="AN1">
        <v>0</v>
      </c>
      <c r="AP1" t="s">
        <v>354</v>
      </c>
    </row>
    <row r="2">
      <c r="A2">
        <v>1931</v>
      </c>
      <c r="E2">
        <v>1</v>
      </c>
      <c r="F2" t="e">
        <v>#NAME?</v>
      </c>
      <c r="G2" t="e">
        <v>#NAME?</v>
      </c>
    </row>
    <row r="3">
      <c r="A3">
        <v>1932</v>
      </c>
      <c r="B3">
        <f>'Granger 1'!B3-'Granger 1'!B2</f>
        <v>-12928</v>
      </c>
      <c r="C3">
        <f>'Granger 1'!C3-'Granger 1'!C2</f>
        <v>-205</v>
      </c>
      <c r="E3">
        <v>2</v>
      </c>
      <c r="F3" t="e">
        <v>#NAME?</v>
      </c>
      <c r="G3" t="e">
        <v>#NAME?</v>
      </c>
      <c r="I3" s="24" t="s">
        <v>355</v>
      </c>
      <c r="J3" s="24" t="s">
        <v>173</v>
      </c>
      <c r="L3" t="s">
        <v>359</v>
      </c>
      <c r="M3" s="43" t="s">
        <v>360</v>
      </c>
      <c r="O3" s="24" t="s">
        <v>355</v>
      </c>
      <c r="P3" s="24" t="s">
        <v>173</v>
      </c>
      <c r="R3" t="s">
        <v>359</v>
      </c>
      <c r="S3" s="43" t="s">
        <v>360</v>
      </c>
      <c r="U3" s="24" t="s">
        <v>355</v>
      </c>
      <c r="V3" s="24" t="s">
        <v>173</v>
      </c>
      <c r="X3" t="s">
        <v>359</v>
      </c>
      <c r="Y3" s="43" t="s">
        <v>360</v>
      </c>
      <c r="AA3" s="24" t="s">
        <v>355</v>
      </c>
      <c r="AB3" s="24" t="s">
        <v>173</v>
      </c>
      <c r="AD3" t="s">
        <v>359</v>
      </c>
      <c r="AE3" s="43" t="s">
        <v>360</v>
      </c>
      <c r="AG3" s="24" t="s">
        <v>355</v>
      </c>
      <c r="AH3" s="24" t="s">
        <v>173</v>
      </c>
      <c r="AJ3" t="s">
        <v>359</v>
      </c>
      <c r="AK3" s="43" t="s">
        <v>360</v>
      </c>
      <c r="AM3" s="24" t="s">
        <v>355</v>
      </c>
      <c r="AN3" s="24" t="s">
        <v>173</v>
      </c>
      <c r="AP3" t="s">
        <v>359</v>
      </c>
      <c r="AQ3" s="43" t="s">
        <v>360</v>
      </c>
    </row>
    <row r="4">
      <c r="A4">
        <v>1933</v>
      </c>
      <c r="B4">
        <f>'Granger 1'!B4-'Granger 1'!B3</f>
        <v>7708</v>
      </c>
      <c r="C4">
        <f>'Granger 1'!C4-'Granger 1'!C3</f>
        <v>-72</v>
      </c>
      <c r="E4">
        <v>3</v>
      </c>
      <c r="F4" t="e">
        <v>#NAME?</v>
      </c>
      <c r="G4" t="e">
        <v>#NAME?</v>
      </c>
      <c r="I4">
        <v>1</v>
      </c>
      <c r="J4" t="e">
        <v>#NAME?</v>
      </c>
      <c r="L4" t="s">
        <v>362</v>
      </c>
      <c r="M4" s="44" t="s">
        <v>365</v>
      </c>
      <c r="O4">
        <v>1</v>
      </c>
      <c r="P4" t="e">
        <v>#NAME?</v>
      </c>
      <c r="R4" t="s">
        <v>362</v>
      </c>
      <c r="S4" s="44" t="s">
        <v>365</v>
      </c>
      <c r="U4">
        <v>1</v>
      </c>
      <c r="V4" t="e">
        <v>#NAME?</v>
      </c>
      <c r="X4" t="s">
        <v>362</v>
      </c>
      <c r="Y4" s="44" t="s">
        <v>363</v>
      </c>
      <c r="AA4">
        <v>1</v>
      </c>
      <c r="AB4" t="e">
        <v>#NAME?</v>
      </c>
      <c r="AD4" t="s">
        <v>362</v>
      </c>
      <c r="AE4" s="44" t="s">
        <v>363</v>
      </c>
      <c r="AG4">
        <v>1</v>
      </c>
      <c r="AH4" t="e">
        <v>#NAME?</v>
      </c>
      <c r="AJ4" t="s">
        <v>362</v>
      </c>
      <c r="AK4" s="44" t="s">
        <v>363</v>
      </c>
      <c r="AM4">
        <v>1</v>
      </c>
      <c r="AN4" t="e">
        <v>#NAME?</v>
      </c>
      <c r="AP4" t="s">
        <v>362</v>
      </c>
      <c r="AQ4" s="44" t="s">
        <v>363</v>
      </c>
    </row>
    <row r="5">
      <c r="A5">
        <v>1934</v>
      </c>
      <c r="B5">
        <f>'Granger 1'!B5-'Granger 1'!B4</f>
        <v>-10586</v>
      </c>
      <c r="C5">
        <f>'Granger 1'!C5-'Granger 1'!C4</f>
        <v>-99</v>
      </c>
      <c r="E5">
        <v>4</v>
      </c>
      <c r="F5" t="e">
        <v>#NAME?</v>
      </c>
      <c r="G5" t="e">
        <v>#NAME?</v>
      </c>
      <c r="I5">
        <f t="shared" ref="I5:I10" si="1691">I4+1</f>
        <v>2</v>
      </c>
      <c r="J5" t="e">
        <v>#NAME?</v>
      </c>
      <c r="L5" t="s">
        <v>364</v>
      </c>
      <c r="M5" s="44" t="s">
        <v>365</v>
      </c>
      <c r="O5">
        <f t="shared" ref="O5:O10" si="1692">O4+1</f>
        <v>2</v>
      </c>
      <c r="P5" t="e">
        <v>#NAME?</v>
      </c>
      <c r="R5" t="s">
        <v>364</v>
      </c>
      <c r="S5" s="44" t="s">
        <v>365</v>
      </c>
      <c r="U5">
        <f t="shared" ref="U5:U10" si="1693">U4+1</f>
        <v>2</v>
      </c>
      <c r="V5" t="e">
        <v>#NAME?</v>
      </c>
      <c r="X5" t="s">
        <v>364</v>
      </c>
      <c r="Y5" s="44" t="s">
        <v>365</v>
      </c>
      <c r="AA5">
        <f t="shared" ref="AA5:AA10" si="1694">AA4+1</f>
        <v>2</v>
      </c>
      <c r="AB5" t="e">
        <v>#NAME?</v>
      </c>
      <c r="AD5" t="s">
        <v>364</v>
      </c>
      <c r="AE5" s="44" t="s">
        <v>365</v>
      </c>
      <c r="AG5">
        <f t="shared" ref="AG5:AG10" si="1695">AG4+1</f>
        <v>2</v>
      </c>
      <c r="AH5" t="e">
        <v>#NAME?</v>
      </c>
      <c r="AJ5" t="s">
        <v>364</v>
      </c>
      <c r="AK5" s="44" t="s">
        <v>363</v>
      </c>
      <c r="AM5">
        <f t="shared" ref="AM5:AM10" si="1696">AM4+1</f>
        <v>2</v>
      </c>
      <c r="AN5" t="e">
        <v>#NAME?</v>
      </c>
      <c r="AP5" t="s">
        <v>364</v>
      </c>
      <c r="AQ5" s="44" t="s">
        <v>363</v>
      </c>
    </row>
    <row r="6">
      <c r="A6">
        <v>1935</v>
      </c>
      <c r="B6">
        <f>'Granger 1'!B6-'Granger 1'!B5</f>
        <v>-43979</v>
      </c>
      <c r="C6">
        <f>'Granger 1'!C6-'Granger 1'!C5</f>
        <v>-75</v>
      </c>
      <c r="I6">
        <f t="shared" si="1691"/>
        <v>3</v>
      </c>
      <c r="J6" t="e">
        <v>#NAME?</v>
      </c>
      <c r="L6" t="s">
        <v>356</v>
      </c>
      <c r="M6" s="10">
        <f>IF(M3&lt;&gt;"schwert",0,ROUND(12*(COUNT(J4:J43)/100)^(1/4),0))</f>
        <v>0</v>
      </c>
      <c r="O6">
        <f t="shared" si="1692"/>
        <v>3</v>
      </c>
      <c r="P6" t="e">
        <v>#NAME?</v>
      </c>
      <c r="R6" t="s">
        <v>356</v>
      </c>
      <c r="S6" s="10">
        <f>IF(S3&lt;&gt;"schwert",0,ROUND(12*(COUNT(P4:P43)/100)^(1/4),0))</f>
        <v>0</v>
      </c>
      <c r="U6">
        <f t="shared" si="1693"/>
        <v>3</v>
      </c>
      <c r="V6" t="e">
        <v>#NAME?</v>
      </c>
      <c r="X6" t="s">
        <v>356</v>
      </c>
      <c r="Y6" s="10">
        <f>IF(Y3&lt;&gt;"schwert",0,ROUND(12*(COUNT(V4:V45)/100)^(1/4),0))</f>
        <v>0</v>
      </c>
      <c r="AA6">
        <f t="shared" si="1694"/>
        <v>3</v>
      </c>
      <c r="AB6" t="e">
        <v>#NAME?</v>
      </c>
      <c r="AD6" t="s">
        <v>356</v>
      </c>
      <c r="AE6" s="10">
        <f>IF(AE3&lt;&gt;"schwert",0,ROUND(12*(COUNT(AB4:AB45)/100)^(1/4),0))</f>
        <v>0</v>
      </c>
      <c r="AG6">
        <f t="shared" si="1695"/>
        <v>3</v>
      </c>
      <c r="AH6" t="e">
        <v>#NAME?</v>
      </c>
      <c r="AJ6" t="s">
        <v>356</v>
      </c>
      <c r="AK6" s="10">
        <f>IF(AK3&lt;&gt;"schwert",0,ROUND(12*(COUNT(AH4:AH45)/100)^(1/4),0))</f>
        <v>0</v>
      </c>
      <c r="AM6">
        <f t="shared" si="1696"/>
        <v>3</v>
      </c>
      <c r="AN6" t="e">
        <v>#NAME?</v>
      </c>
      <c r="AP6" t="s">
        <v>356</v>
      </c>
      <c r="AQ6" s="10">
        <f>IF(AQ3&lt;&gt;"schwert",0,ROUND(12*(COUNT(AN4:AN45)/100)^(1/4),0))</f>
        <v>0</v>
      </c>
    </row>
    <row r="7">
      <c r="A7">
        <v>1936</v>
      </c>
      <c r="B7">
        <f>'Granger 1'!B7-'Granger 1'!B6</f>
        <v>13488</v>
      </c>
      <c r="C7">
        <f>'Granger 1'!C7-'Granger 1'!C6</f>
        <v>85</v>
      </c>
      <c r="I7">
        <f t="shared" si="1691"/>
        <v>4</v>
      </c>
      <c r="J7" t="e">
        <v>#NAME?</v>
      </c>
      <c r="L7" t="s">
        <v>203</v>
      </c>
      <c r="M7" s="13">
        <v>5.0000000000000003e-02</v>
      </c>
      <c r="O7">
        <f t="shared" si="1692"/>
        <v>4</v>
      </c>
      <c r="P7" t="e">
        <v>#NAME?</v>
      </c>
      <c r="R7" t="s">
        <v>203</v>
      </c>
      <c r="S7" s="13">
        <v>5.0000000000000003e-02</v>
      </c>
      <c r="U7">
        <f t="shared" si="1693"/>
        <v>4</v>
      </c>
      <c r="V7" t="e">
        <v>#NAME?</v>
      </c>
      <c r="X7" t="s">
        <v>203</v>
      </c>
      <c r="Y7" s="13">
        <v>5.0000000000000003e-02</v>
      </c>
      <c r="AA7">
        <f t="shared" si="1694"/>
        <v>4</v>
      </c>
      <c r="AB7" t="e">
        <v>#NAME?</v>
      </c>
      <c r="AD7" t="s">
        <v>203</v>
      </c>
      <c r="AE7" s="13">
        <v>5.0000000000000003e-02</v>
      </c>
      <c r="AG7">
        <f t="shared" si="1695"/>
        <v>4</v>
      </c>
      <c r="AH7" t="e">
        <v>#NAME?</v>
      </c>
      <c r="AJ7" t="s">
        <v>203</v>
      </c>
      <c r="AK7" s="13">
        <v>5.0000000000000003e-02</v>
      </c>
      <c r="AM7">
        <f t="shared" si="1696"/>
        <v>4</v>
      </c>
      <c r="AN7" t="e">
        <v>#NAME?</v>
      </c>
      <c r="AP7" t="s">
        <v>203</v>
      </c>
      <c r="AQ7" s="13">
        <v>5.0000000000000003e-02</v>
      </c>
    </row>
    <row r="8">
      <c r="A8">
        <v>1937</v>
      </c>
      <c r="B8">
        <f>'Granger 1'!B8-'Granger 1'!B7</f>
        <v>20475</v>
      </c>
      <c r="C8">
        <f>'Granger 1'!C8-'Granger 1'!C7</f>
        <v>277</v>
      </c>
      <c r="I8">
        <f t="shared" si="1691"/>
        <v>5</v>
      </c>
      <c r="J8" t="e">
        <v>#NAME?</v>
      </c>
      <c r="O8">
        <f t="shared" si="1692"/>
        <v>5</v>
      </c>
      <c r="P8" t="e">
        <v>#NAME?</v>
      </c>
      <c r="U8">
        <f t="shared" si="1693"/>
        <v>5</v>
      </c>
      <c r="V8" t="e">
        <v>#NAME?</v>
      </c>
      <c r="AA8">
        <f t="shared" si="1694"/>
        <v>5</v>
      </c>
      <c r="AB8" t="e">
        <v>#NAME?</v>
      </c>
      <c r="AG8">
        <f t="shared" si="1695"/>
        <v>5</v>
      </c>
      <c r="AH8" t="e">
        <v>#NAME?</v>
      </c>
      <c r="AM8">
        <f t="shared" si="1696"/>
        <v>5</v>
      </c>
      <c r="AN8" t="e">
        <v>#NAME?</v>
      </c>
    </row>
    <row r="9">
      <c r="A9">
        <v>1938</v>
      </c>
      <c r="B9">
        <f>'Granger 1'!B9-'Granger 1'!B8</f>
        <v>-34297</v>
      </c>
      <c r="C9">
        <f>'Granger 1'!C9-'Granger 1'!C8</f>
        <v>-19</v>
      </c>
      <c r="I9">
        <f t="shared" si="1691"/>
        <v>6</v>
      </c>
      <c r="J9" t="e">
        <v>#NAME?</v>
      </c>
      <c r="L9" t="e">
        <v>#NAME?</v>
      </c>
      <c r="M9" s="7" t="e">
        <v>#NAME?</v>
      </c>
      <c r="O9">
        <f t="shared" si="1692"/>
        <v>6</v>
      </c>
      <c r="P9" t="e">
        <v>#NAME?</v>
      </c>
      <c r="R9" t="e">
        <v>#NAME?</v>
      </c>
      <c r="S9" s="7" t="e">
        <v>#NAME?</v>
      </c>
      <c r="U9">
        <f t="shared" si="1693"/>
        <v>6</v>
      </c>
      <c r="V9" t="e">
        <v>#NAME?</v>
      </c>
      <c r="X9" t="e">
        <v>#NAME?</v>
      </c>
      <c r="Y9" s="7" t="e">
        <v>#NAME?</v>
      </c>
      <c r="AA9">
        <f t="shared" si="1694"/>
        <v>6</v>
      </c>
      <c r="AB9" t="e">
        <v>#NAME?</v>
      </c>
      <c r="AD9" t="e">
        <v>#NAME?</v>
      </c>
      <c r="AE9" s="7" t="e">
        <v>#NAME?</v>
      </c>
      <c r="AG9">
        <f t="shared" si="1695"/>
        <v>6</v>
      </c>
      <c r="AH9" t="e">
        <v>#NAME?</v>
      </c>
      <c r="AJ9" t="e">
        <v>#NAME?</v>
      </c>
      <c r="AK9" s="7" t="e">
        <v>#NAME?</v>
      </c>
      <c r="AM9">
        <f t="shared" si="1696"/>
        <v>6</v>
      </c>
      <c r="AN9" t="e">
        <v>#NAME?</v>
      </c>
      <c r="AP9" t="e">
        <v>#NAME?</v>
      </c>
      <c r="AQ9" s="7" t="e">
        <v>#NAME?</v>
      </c>
    </row>
    <row r="10">
      <c r="A10">
        <v>1939</v>
      </c>
      <c r="B10">
        <f>'Granger 1'!B10-'Granger 1'!B9</f>
        <v>28967</v>
      </c>
      <c r="C10">
        <f>'Granger 1'!C10-'Granger 1'!C9</f>
        <v>137</v>
      </c>
      <c r="I10">
        <f t="shared" si="1691"/>
        <v>7</v>
      </c>
      <c r="J10" t="e">
        <v>#NAME?</v>
      </c>
      <c r="L10" t="e">
        <v>#NAME?</v>
      </c>
      <c r="M10" s="10" t="e">
        <v>#NAME?</v>
      </c>
      <c r="O10">
        <f t="shared" si="1692"/>
        <v>7</v>
      </c>
      <c r="P10" t="e">
        <v>#NAME?</v>
      </c>
      <c r="R10" t="e">
        <v>#NAME?</v>
      </c>
      <c r="S10" s="10" t="e">
        <v>#NAME?</v>
      </c>
      <c r="U10">
        <f t="shared" si="1693"/>
        <v>7</v>
      </c>
      <c r="V10" t="e">
        <v>#NAME?</v>
      </c>
      <c r="X10" t="e">
        <v>#NAME?</v>
      </c>
      <c r="Y10" s="10" t="e">
        <v>#NAME?</v>
      </c>
      <c r="AA10">
        <f t="shared" si="1694"/>
        <v>7</v>
      </c>
      <c r="AB10" t="e">
        <v>#NAME?</v>
      </c>
      <c r="AD10" t="e">
        <v>#NAME?</v>
      </c>
      <c r="AE10" s="10" t="e">
        <v>#NAME?</v>
      </c>
      <c r="AG10">
        <f t="shared" si="1695"/>
        <v>7</v>
      </c>
      <c r="AH10" t="e">
        <v>#NAME?</v>
      </c>
      <c r="AJ10" t="e">
        <v>#NAME?</v>
      </c>
      <c r="AK10" s="10" t="e">
        <v>#NAME?</v>
      </c>
      <c r="AM10">
        <f t="shared" si="1696"/>
        <v>7</v>
      </c>
      <c r="AN10" t="e">
        <v>#NAME?</v>
      </c>
      <c r="AP10" t="e">
        <v>#NAME?</v>
      </c>
      <c r="AQ10" s="10" t="e">
        <v>#NAME?</v>
      </c>
    </row>
    <row r="11">
      <c r="A11">
        <v>1940</v>
      </c>
      <c r="B11">
        <f>'Granger 1'!B11-'Granger 1'!B10</f>
        <v>19697</v>
      </c>
      <c r="C11">
        <f>'Granger 1'!C11-'Granger 1'!C10</f>
        <v>79</v>
      </c>
      <c r="I11">
        <f t="shared" ref="I11:I42" si="1697">I10+1</f>
        <v>8</v>
      </c>
      <c r="J11" t="e">
        <v>#NAME?</v>
      </c>
      <c r="L11" t="e">
        <v>#NAME?</v>
      </c>
      <c r="M11" s="44" t="e">
        <v>#NAME?</v>
      </c>
      <c r="O11">
        <f t="shared" ref="O11:O42" si="1698">O10+1</f>
        <v>8</v>
      </c>
      <c r="P11" t="e">
        <v>#NAME?</v>
      </c>
      <c r="R11" t="e">
        <v>#NAME?</v>
      </c>
      <c r="S11" s="44" t="e">
        <v>#NAME?</v>
      </c>
      <c r="U11">
        <f t="shared" ref="U11:U42" si="1699">U10+1</f>
        <v>8</v>
      </c>
      <c r="V11" t="e">
        <v>#NAME?</v>
      </c>
      <c r="X11" t="e">
        <v>#NAME?</v>
      </c>
      <c r="Y11" s="44" t="e">
        <v>#NAME?</v>
      </c>
      <c r="AA11">
        <f t="shared" ref="AA11:AA42" si="1700">AA10+1</f>
        <v>8</v>
      </c>
      <c r="AB11" t="e">
        <v>#NAME?</v>
      </c>
      <c r="AD11" t="e">
        <v>#NAME?</v>
      </c>
      <c r="AE11" s="44" t="e">
        <v>#NAME?</v>
      </c>
      <c r="AG11">
        <f t="shared" ref="AG11:AG42" si="1701">AG10+1</f>
        <v>8</v>
      </c>
      <c r="AH11" t="e">
        <v>#NAME?</v>
      </c>
      <c r="AJ11" t="e">
        <v>#NAME?</v>
      </c>
      <c r="AK11" s="44" t="e">
        <v>#NAME?</v>
      </c>
      <c r="AM11">
        <f t="shared" ref="AM11:AM42" si="1702">AM10+1</f>
        <v>8</v>
      </c>
      <c r="AN11" t="e">
        <v>#NAME?</v>
      </c>
      <c r="AP11" t="e">
        <v>#NAME?</v>
      </c>
      <c r="AQ11" s="44" t="e">
        <v>#NAME?</v>
      </c>
    </row>
    <row r="12">
      <c r="A12">
        <v>1941</v>
      </c>
      <c r="B12">
        <f>'Granger 1'!B12-'Granger 1'!B11</f>
        <v>-15447</v>
      </c>
      <c r="C12">
        <f>'Granger 1'!C12-'Granger 1'!C11</f>
        <v>200</v>
      </c>
      <c r="I12">
        <f t="shared" si="1697"/>
        <v>9</v>
      </c>
      <c r="J12" t="e">
        <v>#NAME?</v>
      </c>
      <c r="L12" t="e">
        <v>#NAME?</v>
      </c>
      <c r="M12" s="10" t="e">
        <v>#NAME?</v>
      </c>
      <c r="O12">
        <f t="shared" si="1698"/>
        <v>9</v>
      </c>
      <c r="P12" t="e">
        <v>#NAME?</v>
      </c>
      <c r="R12" t="e">
        <v>#NAME?</v>
      </c>
      <c r="S12" s="10" t="e">
        <v>#NAME?</v>
      </c>
      <c r="U12">
        <f t="shared" si="1699"/>
        <v>9</v>
      </c>
      <c r="V12" t="e">
        <v>#NAME?</v>
      </c>
      <c r="X12" t="e">
        <v>#NAME?</v>
      </c>
      <c r="Y12" s="10" t="e">
        <v>#NAME?</v>
      </c>
      <c r="AA12">
        <f t="shared" si="1700"/>
        <v>9</v>
      </c>
      <c r="AB12" t="e">
        <v>#NAME?</v>
      </c>
      <c r="AD12" t="e">
        <v>#NAME?</v>
      </c>
      <c r="AE12" s="10" t="e">
        <v>#NAME?</v>
      </c>
      <c r="AG12">
        <f t="shared" si="1701"/>
        <v>9</v>
      </c>
      <c r="AH12" t="e">
        <v>#NAME?</v>
      </c>
      <c r="AJ12" t="e">
        <v>#NAME?</v>
      </c>
      <c r="AK12" s="10" t="e">
        <v>#NAME?</v>
      </c>
      <c r="AM12">
        <f t="shared" si="1702"/>
        <v>9</v>
      </c>
      <c r="AN12" t="e">
        <v>#NAME?</v>
      </c>
      <c r="AP12" t="e">
        <v>#NAME?</v>
      </c>
      <c r="AQ12" s="10" t="e">
        <v>#NAME?</v>
      </c>
    </row>
    <row r="13">
      <c r="A13">
        <v>1942</v>
      </c>
      <c r="B13">
        <f>'Granger 1'!B13-'Granger 1'!B12</f>
        <v>54094</v>
      </c>
      <c r="C13">
        <f>'Granger 1'!C13-'Granger 1'!C12</f>
        <v>616</v>
      </c>
      <c r="I13">
        <f t="shared" si="1697"/>
        <v>10</v>
      </c>
      <c r="J13" t="e">
        <v>#NAME?</v>
      </c>
      <c r="L13" t="e">
        <v>#NAME?</v>
      </c>
      <c r="M13" s="10" t="e">
        <v>#NAME?</v>
      </c>
      <c r="O13">
        <f t="shared" si="1698"/>
        <v>10</v>
      </c>
      <c r="P13" t="e">
        <v>#NAME?</v>
      </c>
      <c r="R13" t="e">
        <v>#NAME?</v>
      </c>
      <c r="S13" s="10" t="e">
        <v>#NAME?</v>
      </c>
      <c r="U13">
        <f t="shared" si="1699"/>
        <v>10</v>
      </c>
      <c r="V13" t="e">
        <v>#NAME?</v>
      </c>
      <c r="X13" t="e">
        <v>#NAME?</v>
      </c>
      <c r="Y13" s="10" t="e">
        <v>#NAME?</v>
      </c>
      <c r="AA13">
        <f t="shared" si="1700"/>
        <v>10</v>
      </c>
      <c r="AB13" t="e">
        <v>#NAME?</v>
      </c>
      <c r="AD13" t="e">
        <v>#NAME?</v>
      </c>
      <c r="AE13" s="10" t="e">
        <v>#NAME?</v>
      </c>
      <c r="AG13">
        <f t="shared" si="1701"/>
        <v>10</v>
      </c>
      <c r="AH13" t="e">
        <v>#NAME?</v>
      </c>
      <c r="AJ13" t="e">
        <v>#NAME?</v>
      </c>
      <c r="AK13" s="10" t="e">
        <v>#NAME?</v>
      </c>
      <c r="AM13">
        <f t="shared" si="1702"/>
        <v>10</v>
      </c>
      <c r="AN13" t="e">
        <v>#NAME?</v>
      </c>
      <c r="AP13" t="e">
        <v>#NAME?</v>
      </c>
      <c r="AQ13" s="10" t="e">
        <v>#NAME?</v>
      </c>
    </row>
    <row r="14">
      <c r="A14">
        <v>1943</v>
      </c>
      <c r="B14">
        <f>'Granger 1'!B14-'Granger 1'!B13</f>
        <v>65112</v>
      </c>
      <c r="C14">
        <f>'Granger 1'!C14-'Granger 1'!C13</f>
        <v>544</v>
      </c>
      <c r="I14">
        <f t="shared" si="1697"/>
        <v>11</v>
      </c>
      <c r="J14" t="e">
        <v>#NAME?</v>
      </c>
      <c r="L14" t="e">
        <v>#NAME?</v>
      </c>
      <c r="M14" s="10" t="e">
        <v>#NAME?</v>
      </c>
      <c r="O14">
        <f t="shared" si="1698"/>
        <v>11</v>
      </c>
      <c r="P14" t="e">
        <v>#NAME?</v>
      </c>
      <c r="R14" t="e">
        <v>#NAME?</v>
      </c>
      <c r="S14" s="10" t="e">
        <v>#NAME?</v>
      </c>
      <c r="U14">
        <f t="shared" si="1699"/>
        <v>11</v>
      </c>
      <c r="V14" t="e">
        <v>#NAME?</v>
      </c>
      <c r="X14" t="e">
        <v>#NAME?</v>
      </c>
      <c r="Y14" s="10" t="e">
        <v>#NAME?</v>
      </c>
      <c r="AA14">
        <f t="shared" si="1700"/>
        <v>11</v>
      </c>
      <c r="AB14" t="e">
        <v>#NAME?</v>
      </c>
      <c r="AD14" t="e">
        <v>#NAME?</v>
      </c>
      <c r="AE14" s="10" t="e">
        <v>#NAME?</v>
      </c>
      <c r="AG14">
        <f t="shared" si="1701"/>
        <v>11</v>
      </c>
      <c r="AH14" t="e">
        <v>#NAME?</v>
      </c>
      <c r="AJ14" t="e">
        <v>#NAME?</v>
      </c>
      <c r="AK14" s="10" t="e">
        <v>#NAME?</v>
      </c>
      <c r="AM14">
        <f t="shared" si="1702"/>
        <v>11</v>
      </c>
      <c r="AN14" t="e">
        <v>#NAME?</v>
      </c>
      <c r="AP14" t="e">
        <v>#NAME?</v>
      </c>
      <c r="AQ14" s="10" t="e">
        <v>#NAME?</v>
      </c>
    </row>
    <row r="15">
      <c r="A15">
        <v>1944</v>
      </c>
      <c r="B15">
        <f>'Granger 1'!B15-'Granger 1'!B14</f>
        <v>40150</v>
      </c>
      <c r="C15">
        <f>'Granger 1'!C15-'Granger 1'!C14</f>
        <v>366</v>
      </c>
      <c r="I15">
        <f t="shared" si="1697"/>
        <v>12</v>
      </c>
      <c r="J15" t="e">
        <v>#NAME?</v>
      </c>
      <c r="L15" t="e">
        <v>#NAME?</v>
      </c>
      <c r="M15" s="10" t="e">
        <v>#NAME?</v>
      </c>
      <c r="O15">
        <f t="shared" si="1698"/>
        <v>12</v>
      </c>
      <c r="P15" t="e">
        <v>#NAME?</v>
      </c>
      <c r="R15" t="e">
        <v>#NAME?</v>
      </c>
      <c r="S15" s="10" t="e">
        <v>#NAME?</v>
      </c>
      <c r="U15">
        <f t="shared" si="1699"/>
        <v>12</v>
      </c>
      <c r="V15" t="e">
        <v>#NAME?</v>
      </c>
      <c r="X15" t="e">
        <v>#NAME?</v>
      </c>
      <c r="Y15" s="10" t="e">
        <v>#NAME?</v>
      </c>
      <c r="AA15">
        <f t="shared" si="1700"/>
        <v>12</v>
      </c>
      <c r="AB15" t="e">
        <v>#NAME?</v>
      </c>
      <c r="AD15" t="e">
        <v>#NAME?</v>
      </c>
      <c r="AE15" s="10" t="e">
        <v>#NAME?</v>
      </c>
      <c r="AG15">
        <f t="shared" si="1701"/>
        <v>12</v>
      </c>
      <c r="AH15" t="e">
        <v>#NAME?</v>
      </c>
      <c r="AJ15" t="e">
        <v>#NAME?</v>
      </c>
      <c r="AK15" s="10" t="e">
        <v>#NAME?</v>
      </c>
      <c r="AM15">
        <f t="shared" si="1702"/>
        <v>12</v>
      </c>
      <c r="AN15" t="e">
        <v>#NAME?</v>
      </c>
      <c r="AP15" t="e">
        <v>#NAME?</v>
      </c>
      <c r="AQ15" s="10" t="e">
        <v>#NAME?</v>
      </c>
    </row>
    <row r="16">
      <c r="A16">
        <v>1945</v>
      </c>
      <c r="B16">
        <f>'Granger 1'!B16-'Granger 1'!B15</f>
        <v>-65700</v>
      </c>
      <c r="C16">
        <f>'Granger 1'!C16-'Granger 1'!C15</f>
        <v>-212</v>
      </c>
      <c r="I16">
        <f t="shared" si="1697"/>
        <v>13</v>
      </c>
      <c r="J16" t="e">
        <v>#NAME?</v>
      </c>
      <c r="L16" t="e">
        <v>#NAME?</v>
      </c>
      <c r="M16" s="21" t="e">
        <v>#NAME?</v>
      </c>
      <c r="O16">
        <f t="shared" si="1698"/>
        <v>13</v>
      </c>
      <c r="P16" t="e">
        <v>#NAME?</v>
      </c>
      <c r="R16" t="e">
        <v>#NAME?</v>
      </c>
      <c r="S16" s="21" t="e">
        <v>#NAME?</v>
      </c>
      <c r="U16">
        <f t="shared" si="1699"/>
        <v>13</v>
      </c>
      <c r="V16" t="e">
        <v>#NAME?</v>
      </c>
      <c r="X16" t="e">
        <v>#NAME?</v>
      </c>
      <c r="Y16" s="21" t="e">
        <v>#NAME?</v>
      </c>
      <c r="AA16">
        <f t="shared" si="1700"/>
        <v>13</v>
      </c>
      <c r="AB16" t="e">
        <v>#NAME?</v>
      </c>
      <c r="AD16" t="e">
        <v>#NAME?</v>
      </c>
      <c r="AE16" s="21" t="e">
        <v>#NAME?</v>
      </c>
      <c r="AG16">
        <f t="shared" si="1701"/>
        <v>13</v>
      </c>
      <c r="AH16" t="e">
        <v>#NAME?</v>
      </c>
      <c r="AJ16" t="e">
        <v>#NAME?</v>
      </c>
      <c r="AK16" s="21" t="e">
        <v>#NAME?</v>
      </c>
      <c r="AM16">
        <f t="shared" si="1702"/>
        <v>13</v>
      </c>
      <c r="AN16" t="e">
        <v>#NAME?</v>
      </c>
      <c r="AP16" t="e">
        <v>#NAME?</v>
      </c>
      <c r="AQ16" s="21" t="e">
        <v>#NAME?</v>
      </c>
    </row>
    <row r="17">
      <c r="A17">
        <v>1946</v>
      </c>
      <c r="B17">
        <f>'Granger 1'!B17-'Granger 1'!B16</f>
        <v>6730</v>
      </c>
      <c r="C17">
        <f>'Granger 1'!C17-'Granger 1'!C16</f>
        <v>-24</v>
      </c>
      <c r="I17">
        <f t="shared" si="1697"/>
        <v>14</v>
      </c>
      <c r="J17" t="e">
        <v>#NAME?</v>
      </c>
      <c r="O17">
        <f t="shared" si="1698"/>
        <v>14</v>
      </c>
      <c r="P17" t="e">
        <v>#NAME?</v>
      </c>
      <c r="U17">
        <f t="shared" si="1699"/>
        <v>14</v>
      </c>
      <c r="V17" t="e">
        <v>#NAME?</v>
      </c>
      <c r="AA17">
        <f t="shared" si="1700"/>
        <v>14</v>
      </c>
      <c r="AB17" t="e">
        <v>#NAME?</v>
      </c>
      <c r="AG17">
        <f t="shared" si="1701"/>
        <v>14</v>
      </c>
      <c r="AH17" t="e">
        <v>#NAME?</v>
      </c>
      <c r="AM17">
        <f t="shared" si="1702"/>
        <v>14</v>
      </c>
      <c r="AN17" t="e">
        <v>#NAME?</v>
      </c>
    </row>
    <row r="18">
      <c r="A18">
        <v>1947</v>
      </c>
      <c r="B18">
        <f>'Granger 1'!B18-'Granger 1'!B17</f>
        <v>-56010</v>
      </c>
      <c r="C18">
        <f>'Granger 1'!C18-'Granger 1'!C17</f>
        <v>-53</v>
      </c>
      <c r="I18">
        <f t="shared" si="1697"/>
        <v>15</v>
      </c>
      <c r="J18" t="e">
        <v>#NAME?</v>
      </c>
      <c r="O18">
        <f t="shared" si="1698"/>
        <v>15</v>
      </c>
      <c r="P18" t="e">
        <v>#NAME?</v>
      </c>
      <c r="U18">
        <f t="shared" si="1699"/>
        <v>15</v>
      </c>
      <c r="V18" t="e">
        <v>#NAME?</v>
      </c>
      <c r="AA18">
        <f t="shared" si="1700"/>
        <v>15</v>
      </c>
      <c r="AB18" t="e">
        <v>#NAME?</v>
      </c>
      <c r="AG18">
        <f t="shared" si="1701"/>
        <v>15</v>
      </c>
      <c r="AH18" t="e">
        <v>#NAME?</v>
      </c>
      <c r="AM18">
        <f t="shared" si="1702"/>
        <v>15</v>
      </c>
      <c r="AN18" t="e">
        <v>#NAME?</v>
      </c>
    </row>
    <row r="19">
      <c r="A19">
        <v>1948</v>
      </c>
      <c r="B19">
        <f>'Granger 1'!B19-'Granger 1'!B18</f>
        <v>32427</v>
      </c>
      <c r="C19">
        <f>'Granger 1'!C19-'Granger 1'!C18</f>
        <v>-45</v>
      </c>
      <c r="I19">
        <f t="shared" si="1697"/>
        <v>16</v>
      </c>
      <c r="J19" t="e">
        <v>#NAME?</v>
      </c>
      <c r="O19">
        <f t="shared" si="1698"/>
        <v>16</v>
      </c>
      <c r="P19" t="e">
        <v>#NAME?</v>
      </c>
      <c r="U19">
        <f t="shared" si="1699"/>
        <v>16</v>
      </c>
      <c r="V19" t="e">
        <v>#NAME?</v>
      </c>
      <c r="AA19">
        <f t="shared" si="1700"/>
        <v>16</v>
      </c>
      <c r="AB19" t="e">
        <v>#NAME?</v>
      </c>
      <c r="AG19">
        <f t="shared" si="1701"/>
        <v>16</v>
      </c>
      <c r="AH19" t="e">
        <v>#NAME?</v>
      </c>
      <c r="AM19">
        <f t="shared" si="1702"/>
        <v>16</v>
      </c>
      <c r="AN19" t="e">
        <v>#NAME?</v>
      </c>
    </row>
    <row r="20">
      <c r="A20">
        <v>1949</v>
      </c>
      <c r="B20">
        <f>'Granger 1'!B20-'Granger 1'!B19</f>
        <v>-68768</v>
      </c>
      <c r="C20">
        <f>'Granger 1'!C20-'Granger 1'!C19</f>
        <v>116</v>
      </c>
      <c r="I20">
        <f t="shared" si="1697"/>
        <v>17</v>
      </c>
      <c r="J20" t="e">
        <v>#NAME?</v>
      </c>
      <c r="O20">
        <f t="shared" si="1698"/>
        <v>17</v>
      </c>
      <c r="P20" t="e">
        <v>#NAME?</v>
      </c>
      <c r="U20">
        <f t="shared" si="1699"/>
        <v>17</v>
      </c>
      <c r="V20" t="e">
        <v>#NAME?</v>
      </c>
      <c r="AA20">
        <f t="shared" si="1700"/>
        <v>17</v>
      </c>
      <c r="AB20" t="e">
        <v>#NAME?</v>
      </c>
      <c r="AG20">
        <f t="shared" si="1701"/>
        <v>17</v>
      </c>
      <c r="AH20" t="e">
        <v>#NAME?</v>
      </c>
      <c r="AM20">
        <f t="shared" si="1702"/>
        <v>17</v>
      </c>
      <c r="AN20" t="e">
        <v>#NAME?</v>
      </c>
    </row>
    <row r="21">
      <c r="A21">
        <v>1950</v>
      </c>
      <c r="B21">
        <f>'Granger 1'!B21-'Granger 1'!B20</f>
        <v>25673</v>
      </c>
      <c r="C21">
        <f>'Granger 1'!C21-'Granger 1'!C20</f>
        <v>256</v>
      </c>
      <c r="I21">
        <f t="shared" si="1697"/>
        <v>18</v>
      </c>
      <c r="J21" t="e">
        <v>#NAME?</v>
      </c>
      <c r="O21">
        <f t="shared" si="1698"/>
        <v>18</v>
      </c>
      <c r="P21" t="e">
        <v>#NAME?</v>
      </c>
      <c r="U21">
        <f t="shared" si="1699"/>
        <v>18</v>
      </c>
      <c r="V21" t="e">
        <v>#NAME?</v>
      </c>
      <c r="AA21">
        <f t="shared" si="1700"/>
        <v>18</v>
      </c>
      <c r="AB21" t="e">
        <v>#NAME?</v>
      </c>
      <c r="AG21">
        <f t="shared" si="1701"/>
        <v>18</v>
      </c>
      <c r="AH21" t="e">
        <v>#NAME?</v>
      </c>
      <c r="AM21">
        <f t="shared" si="1702"/>
        <v>18</v>
      </c>
      <c r="AN21" t="e">
        <v>#NAME?</v>
      </c>
    </row>
    <row r="22">
      <c r="A22">
        <v>1951</v>
      </c>
      <c r="B22">
        <f>'Granger 1'!B22-'Granger 1'!B21</f>
        <v>-25561</v>
      </c>
      <c r="C22">
        <f>'Granger 1'!C22-'Granger 1'!C21</f>
        <v>-82</v>
      </c>
      <c r="I22">
        <f t="shared" si="1697"/>
        <v>19</v>
      </c>
      <c r="J22" t="e">
        <v>#NAME?</v>
      </c>
      <c r="O22">
        <f t="shared" si="1698"/>
        <v>19</v>
      </c>
      <c r="P22" t="e">
        <v>#NAME?</v>
      </c>
      <c r="U22">
        <f t="shared" si="1699"/>
        <v>19</v>
      </c>
      <c r="V22" t="e">
        <v>#NAME?</v>
      </c>
      <c r="AA22">
        <f t="shared" si="1700"/>
        <v>19</v>
      </c>
      <c r="AB22" t="e">
        <v>#NAME?</v>
      </c>
      <c r="AG22">
        <f t="shared" si="1701"/>
        <v>19</v>
      </c>
      <c r="AH22" t="e">
        <v>#NAME?</v>
      </c>
      <c r="AM22">
        <f t="shared" si="1702"/>
        <v>19</v>
      </c>
      <c r="AN22" t="e">
        <v>#NAME?</v>
      </c>
    </row>
    <row r="23">
      <c r="A23">
        <v>1952</v>
      </c>
      <c r="B23">
        <f>'Granger 1'!B23-'Granger 1'!B22</f>
        <v>-4433</v>
      </c>
      <c r="C23">
        <f>'Granger 1'!C23-'Granger 1'!C22</f>
        <v>1</v>
      </c>
      <c r="I23">
        <f t="shared" si="1697"/>
        <v>20</v>
      </c>
      <c r="J23" t="e">
        <v>#NAME?</v>
      </c>
      <c r="O23">
        <f t="shared" si="1698"/>
        <v>20</v>
      </c>
      <c r="P23" t="e">
        <v>#NAME?</v>
      </c>
      <c r="U23">
        <f t="shared" si="1699"/>
        <v>20</v>
      </c>
      <c r="V23" t="e">
        <v>#NAME?</v>
      </c>
      <c r="AA23">
        <f t="shared" si="1700"/>
        <v>20</v>
      </c>
      <c r="AB23" t="e">
        <v>#NAME?</v>
      </c>
      <c r="AG23">
        <f t="shared" si="1701"/>
        <v>20</v>
      </c>
      <c r="AH23" t="e">
        <v>#NAME?</v>
      </c>
      <c r="AM23">
        <f t="shared" si="1702"/>
        <v>20</v>
      </c>
      <c r="AN23" t="e">
        <v>#NAME?</v>
      </c>
    </row>
    <row r="24">
      <c r="A24">
        <v>1953</v>
      </c>
      <c r="B24">
        <f>'Granger 1'!B24-'Granger 1'!B23</f>
        <v>-28399</v>
      </c>
      <c r="C24">
        <f>'Granger 1'!C24-'Granger 1'!C23</f>
        <v>-16</v>
      </c>
      <c r="I24">
        <f t="shared" si="1697"/>
        <v>21</v>
      </c>
      <c r="J24" t="e">
        <v>#NAME?</v>
      </c>
      <c r="O24">
        <f t="shared" si="1698"/>
        <v>21</v>
      </c>
      <c r="P24" t="e">
        <v>#NAME?</v>
      </c>
      <c r="U24">
        <f t="shared" si="1699"/>
        <v>21</v>
      </c>
      <c r="V24" t="e">
        <v>#NAME?</v>
      </c>
      <c r="AA24">
        <f t="shared" si="1700"/>
        <v>21</v>
      </c>
      <c r="AB24" t="e">
        <v>#NAME?</v>
      </c>
      <c r="AG24">
        <f t="shared" si="1701"/>
        <v>21</v>
      </c>
      <c r="AH24" t="e">
        <v>#NAME?</v>
      </c>
      <c r="AM24">
        <f t="shared" si="1702"/>
        <v>21</v>
      </c>
      <c r="AN24" t="e">
        <v>#NAME?</v>
      </c>
    </row>
    <row r="25">
      <c r="A25">
        <v>1954</v>
      </c>
      <c r="B25">
        <f>'Granger 1'!B25-'Granger 1'!B24</f>
        <v>-1380</v>
      </c>
      <c r="C25">
        <f>'Granger 1'!C25-'Granger 1'!C24</f>
        <v>95</v>
      </c>
      <c r="I25">
        <f t="shared" si="1697"/>
        <v>22</v>
      </c>
      <c r="J25" t="e">
        <v>#NAME?</v>
      </c>
      <c r="O25">
        <f t="shared" si="1698"/>
        <v>22</v>
      </c>
      <c r="P25" t="e">
        <v>#NAME?</v>
      </c>
      <c r="U25">
        <f t="shared" si="1699"/>
        <v>22</v>
      </c>
      <c r="V25" t="e">
        <v>#NAME?</v>
      </c>
      <c r="AA25">
        <f t="shared" si="1700"/>
        <v>22</v>
      </c>
      <c r="AB25" t="e">
        <v>#NAME?</v>
      </c>
      <c r="AG25">
        <f t="shared" si="1701"/>
        <v>22</v>
      </c>
      <c r="AH25" t="e">
        <v>#NAME?</v>
      </c>
      <c r="AM25">
        <f t="shared" si="1702"/>
        <v>22</v>
      </c>
      <c r="AN25" t="e">
        <v>#NAME?</v>
      </c>
    </row>
    <row r="26">
      <c r="A26">
        <v>1955</v>
      </c>
      <c r="B26">
        <f>'Granger 1'!B26-'Granger 1'!B25</f>
        <v>-6068</v>
      </c>
      <c r="C26">
        <f>'Granger 1'!C26-'Granger 1'!C25</f>
        <v>5</v>
      </c>
      <c r="I26">
        <f t="shared" si="1697"/>
        <v>23</v>
      </c>
      <c r="J26" t="e">
        <v>#NAME?</v>
      </c>
      <c r="O26">
        <f t="shared" si="1698"/>
        <v>23</v>
      </c>
      <c r="P26" t="e">
        <v>#NAME?</v>
      </c>
      <c r="U26">
        <f t="shared" si="1699"/>
        <v>23</v>
      </c>
      <c r="V26" t="e">
        <v>#NAME?</v>
      </c>
      <c r="AA26">
        <f t="shared" si="1700"/>
        <v>23</v>
      </c>
      <c r="AB26" t="e">
        <v>#NAME?</v>
      </c>
      <c r="AG26">
        <f t="shared" si="1701"/>
        <v>23</v>
      </c>
      <c r="AH26" t="e">
        <v>#NAME?</v>
      </c>
      <c r="AM26">
        <f t="shared" si="1702"/>
        <v>23</v>
      </c>
      <c r="AN26" t="e">
        <v>#NAME?</v>
      </c>
    </row>
    <row r="27">
      <c r="A27">
        <v>1956</v>
      </c>
      <c r="B27">
        <f>'Granger 1'!B27-'Granger 1'!B26</f>
        <v>-7018</v>
      </c>
      <c r="C27">
        <f>'Granger 1'!C27-'Granger 1'!C26</f>
        <v>93</v>
      </c>
      <c r="I27">
        <f t="shared" si="1697"/>
        <v>24</v>
      </c>
      <c r="J27" t="e">
        <v>#NAME?</v>
      </c>
      <c r="O27">
        <f t="shared" si="1698"/>
        <v>24</v>
      </c>
      <c r="P27" t="e">
        <v>#NAME?</v>
      </c>
      <c r="U27">
        <f t="shared" si="1699"/>
        <v>24</v>
      </c>
      <c r="V27" t="e">
        <v>#NAME?</v>
      </c>
      <c r="AA27">
        <f t="shared" si="1700"/>
        <v>24</v>
      </c>
      <c r="AB27" t="e">
        <v>#NAME?</v>
      </c>
      <c r="AG27">
        <f t="shared" si="1701"/>
        <v>24</v>
      </c>
      <c r="AH27" t="e">
        <v>#NAME?</v>
      </c>
      <c r="AM27">
        <f t="shared" si="1702"/>
        <v>24</v>
      </c>
      <c r="AN27" t="e">
        <v>#NAME?</v>
      </c>
    </row>
    <row r="28">
      <c r="A28">
        <v>1957</v>
      </c>
      <c r="B28">
        <f>'Granger 1'!B28-'Granger 1'!B27</f>
        <v>7673</v>
      </c>
      <c r="C28">
        <f>'Granger 1'!C28-'Granger 1'!C27</f>
        <v>-58</v>
      </c>
      <c r="I28">
        <f t="shared" si="1697"/>
        <v>25</v>
      </c>
      <c r="J28" t="e">
        <v>#NAME?</v>
      </c>
      <c r="O28">
        <f t="shared" si="1698"/>
        <v>25</v>
      </c>
      <c r="P28" t="e">
        <v>#NAME?</v>
      </c>
      <c r="U28">
        <f t="shared" si="1699"/>
        <v>25</v>
      </c>
      <c r="V28" t="e">
        <v>#NAME?</v>
      </c>
      <c r="AA28">
        <f t="shared" si="1700"/>
        <v>25</v>
      </c>
      <c r="AB28" t="e">
        <v>#NAME?</v>
      </c>
      <c r="AG28">
        <f t="shared" si="1701"/>
        <v>25</v>
      </c>
      <c r="AH28" t="e">
        <v>#NAME?</v>
      </c>
      <c r="AM28">
        <f t="shared" si="1702"/>
        <v>25</v>
      </c>
      <c r="AN28" t="e">
        <v>#NAME?</v>
      </c>
    </row>
    <row r="29">
      <c r="A29">
        <v>1958</v>
      </c>
      <c r="B29">
        <f>'Granger 1'!B29-'Granger 1'!B28</f>
        <v>-17082</v>
      </c>
      <c r="C29">
        <f>'Granger 1'!C29-'Granger 1'!C28</f>
        <v>0</v>
      </c>
      <c r="I29">
        <f t="shared" si="1697"/>
        <v>26</v>
      </c>
      <c r="J29" t="e">
        <v>#NAME?</v>
      </c>
      <c r="O29">
        <f t="shared" si="1698"/>
        <v>26</v>
      </c>
      <c r="P29" t="e">
        <v>#NAME?</v>
      </c>
      <c r="U29">
        <f t="shared" si="1699"/>
        <v>26</v>
      </c>
      <c r="V29" t="e">
        <v>#NAME?</v>
      </c>
      <c r="AA29">
        <f t="shared" si="1700"/>
        <v>26</v>
      </c>
      <c r="AB29" t="e">
        <v>#NAME?</v>
      </c>
      <c r="AG29">
        <f t="shared" si="1701"/>
        <v>26</v>
      </c>
      <c r="AH29" t="e">
        <v>#NAME?</v>
      </c>
      <c r="AM29">
        <f t="shared" si="1702"/>
        <v>26</v>
      </c>
      <c r="AN29" t="e">
        <v>#NAME?</v>
      </c>
    </row>
    <row r="30">
      <c r="A30">
        <v>1959</v>
      </c>
      <c r="B30">
        <f>'Granger 1'!B30-'Granger 1'!B29</f>
        <v>12721</v>
      </c>
      <c r="C30">
        <f>'Granger 1'!C30-'Granger 1'!C29</f>
        <v>100</v>
      </c>
      <c r="I30">
        <f t="shared" si="1697"/>
        <v>27</v>
      </c>
      <c r="J30" t="e">
        <v>#NAME?</v>
      </c>
      <c r="O30">
        <f t="shared" si="1698"/>
        <v>27</v>
      </c>
      <c r="P30" t="e">
        <v>#NAME?</v>
      </c>
      <c r="U30">
        <f t="shared" si="1699"/>
        <v>27</v>
      </c>
      <c r="V30" t="e">
        <v>#NAME?</v>
      </c>
      <c r="AA30">
        <f t="shared" si="1700"/>
        <v>27</v>
      </c>
      <c r="AB30" t="e">
        <v>#NAME?</v>
      </c>
      <c r="AG30">
        <f t="shared" si="1701"/>
        <v>27</v>
      </c>
      <c r="AH30" t="e">
        <v>#NAME?</v>
      </c>
      <c r="AM30">
        <f t="shared" si="1702"/>
        <v>27</v>
      </c>
      <c r="AN30" t="e">
        <v>#NAME?</v>
      </c>
    </row>
    <row r="31">
      <c r="A31">
        <v>1960</v>
      </c>
      <c r="B31">
        <f>'Granger 1'!B31-'Granger 1'!B30</f>
        <v>-17518</v>
      </c>
      <c r="C31">
        <f>'Granger 1'!C31-'Granger 1'!C30</f>
        <v>-203</v>
      </c>
      <c r="I31">
        <f t="shared" si="1697"/>
        <v>28</v>
      </c>
      <c r="J31" t="e">
        <v>#NAME?</v>
      </c>
      <c r="O31">
        <f t="shared" si="1698"/>
        <v>28</v>
      </c>
      <c r="P31" t="e">
        <v>#NAME?</v>
      </c>
      <c r="U31">
        <f t="shared" si="1699"/>
        <v>28</v>
      </c>
      <c r="V31" t="e">
        <v>#NAME?</v>
      </c>
      <c r="AA31">
        <f t="shared" si="1700"/>
        <v>28</v>
      </c>
      <c r="AB31" t="e">
        <v>#NAME?</v>
      </c>
      <c r="AG31">
        <f t="shared" si="1701"/>
        <v>28</v>
      </c>
      <c r="AH31" t="e">
        <v>#NAME?</v>
      </c>
      <c r="AM31">
        <f t="shared" si="1702"/>
        <v>28</v>
      </c>
      <c r="AN31" t="e">
        <v>#NAME?</v>
      </c>
    </row>
    <row r="32">
      <c r="A32">
        <v>1961</v>
      </c>
      <c r="B32">
        <f>'Granger 1'!B32-'Granger 1'!B31</f>
        <v>-3402</v>
      </c>
      <c r="C32">
        <f>'Granger 1'!C32-'Granger 1'!C31</f>
        <v>19</v>
      </c>
      <c r="I32">
        <f t="shared" si="1697"/>
        <v>29</v>
      </c>
      <c r="J32" t="e">
        <v>#NAME?</v>
      </c>
      <c r="O32">
        <f t="shared" si="1698"/>
        <v>29</v>
      </c>
      <c r="P32" t="e">
        <v>#NAME?</v>
      </c>
      <c r="U32">
        <f t="shared" si="1699"/>
        <v>29</v>
      </c>
      <c r="V32" t="e">
        <v>#NAME?</v>
      </c>
      <c r="AA32">
        <f t="shared" si="1700"/>
        <v>29</v>
      </c>
      <c r="AB32" t="e">
        <v>#NAME?</v>
      </c>
      <c r="AG32">
        <f t="shared" si="1701"/>
        <v>29</v>
      </c>
      <c r="AH32" t="e">
        <v>#NAME?</v>
      </c>
      <c r="AM32">
        <f t="shared" si="1702"/>
        <v>29</v>
      </c>
      <c r="AN32" t="e">
        <v>#NAME?</v>
      </c>
    </row>
    <row r="33">
      <c r="A33">
        <v>1962</v>
      </c>
      <c r="B33">
        <f>'Granger 1'!B33-'Granger 1'!B32</f>
        <v>11310</v>
      </c>
      <c r="C33">
        <f>'Granger 1'!C33-'Granger 1'!C32</f>
        <v>45</v>
      </c>
      <c r="I33">
        <f t="shared" si="1697"/>
        <v>30</v>
      </c>
      <c r="J33" t="e">
        <v>#NAME?</v>
      </c>
      <c r="O33">
        <f t="shared" si="1698"/>
        <v>30</v>
      </c>
      <c r="P33" t="e">
        <v>#NAME?</v>
      </c>
      <c r="U33">
        <f t="shared" si="1699"/>
        <v>30</v>
      </c>
      <c r="V33" t="e">
        <v>#NAME?</v>
      </c>
      <c r="AA33">
        <f t="shared" si="1700"/>
        <v>30</v>
      </c>
      <c r="AB33" t="e">
        <v>#NAME?</v>
      </c>
      <c r="AG33">
        <f t="shared" si="1701"/>
        <v>30</v>
      </c>
      <c r="AH33" t="e">
        <v>#NAME?</v>
      </c>
      <c r="AM33">
        <f t="shared" si="1702"/>
        <v>30</v>
      </c>
      <c r="AN33" t="e">
        <v>#NAME?</v>
      </c>
    </row>
    <row r="34">
      <c r="A34">
        <v>1963</v>
      </c>
      <c r="B34">
        <f>'Granger 1'!B34-'Granger 1'!B33</f>
        <v>-1817</v>
      </c>
      <c r="C34">
        <f>'Granger 1'!C34-'Granger 1'!C33</f>
        <v>-58</v>
      </c>
      <c r="I34">
        <f t="shared" si="1697"/>
        <v>31</v>
      </c>
      <c r="J34" t="e">
        <v>#NAME?</v>
      </c>
      <c r="O34">
        <f t="shared" si="1698"/>
        <v>31</v>
      </c>
      <c r="P34" t="e">
        <v>#NAME?</v>
      </c>
      <c r="U34">
        <f t="shared" si="1699"/>
        <v>31</v>
      </c>
      <c r="V34" t="e">
        <v>#NAME?</v>
      </c>
      <c r="AA34">
        <f t="shared" si="1700"/>
        <v>31</v>
      </c>
      <c r="AB34" t="e">
        <v>#NAME?</v>
      </c>
      <c r="AG34">
        <f t="shared" si="1701"/>
        <v>31</v>
      </c>
      <c r="AH34" t="e">
        <v>#NAME?</v>
      </c>
      <c r="AM34">
        <f t="shared" si="1702"/>
        <v>31</v>
      </c>
      <c r="AN34" t="e">
        <v>#NAME?</v>
      </c>
    </row>
    <row r="35">
      <c r="A35">
        <v>1964</v>
      </c>
      <c r="B35">
        <f>'Granger 1'!B35-'Granger 1'!B34</f>
        <v>6687</v>
      </c>
      <c r="C35">
        <f>'Granger 1'!C35-'Granger 1'!C34</f>
        <v>90</v>
      </c>
      <c r="I35">
        <f t="shared" si="1697"/>
        <v>32</v>
      </c>
      <c r="J35" t="e">
        <v>#NAME?</v>
      </c>
      <c r="O35">
        <f t="shared" si="1698"/>
        <v>32</v>
      </c>
      <c r="P35" t="e">
        <v>#NAME?</v>
      </c>
      <c r="U35">
        <f t="shared" si="1699"/>
        <v>32</v>
      </c>
      <c r="V35" t="e">
        <v>#NAME?</v>
      </c>
      <c r="AA35">
        <f t="shared" si="1700"/>
        <v>32</v>
      </c>
      <c r="AB35" t="e">
        <v>#NAME?</v>
      </c>
      <c r="AG35">
        <f t="shared" si="1701"/>
        <v>32</v>
      </c>
      <c r="AH35" t="e">
        <v>#NAME?</v>
      </c>
      <c r="AM35">
        <f t="shared" si="1702"/>
        <v>32</v>
      </c>
      <c r="AN35" t="e">
        <v>#NAME?</v>
      </c>
    </row>
    <row r="36">
      <c r="A36">
        <v>1965</v>
      </c>
      <c r="B36">
        <f>'Granger 1'!B36-'Granger 1'!B35</f>
        <v>11856</v>
      </c>
      <c r="C36">
        <f>'Granger 1'!C36-'Granger 1'!C35</f>
        <v>39</v>
      </c>
      <c r="I36">
        <f t="shared" si="1697"/>
        <v>33</v>
      </c>
      <c r="J36" t="e">
        <v>#NAME?</v>
      </c>
      <c r="O36">
        <f t="shared" si="1698"/>
        <v>33</v>
      </c>
      <c r="P36" t="e">
        <v>#NAME?</v>
      </c>
      <c r="U36">
        <f t="shared" si="1699"/>
        <v>33</v>
      </c>
      <c r="V36" t="e">
        <v>#NAME?</v>
      </c>
      <c r="AA36">
        <f t="shared" si="1700"/>
        <v>33</v>
      </c>
      <c r="AB36" t="e">
        <v>#NAME?</v>
      </c>
      <c r="AG36">
        <f t="shared" si="1701"/>
        <v>33</v>
      </c>
      <c r="AH36" t="e">
        <v>#NAME?</v>
      </c>
      <c r="AM36">
        <f t="shared" si="1702"/>
        <v>33</v>
      </c>
      <c r="AN36" t="e">
        <v>#NAME?</v>
      </c>
    </row>
    <row r="37">
      <c r="A37">
        <v>1966</v>
      </c>
      <c r="B37">
        <f>'Granger 1'!B37-'Granger 1'!B36</f>
        <v>-1099</v>
      </c>
      <c r="C37">
        <f>'Granger 1'!C37-'Granger 1'!C36</f>
        <v>66</v>
      </c>
      <c r="I37">
        <f t="shared" si="1697"/>
        <v>34</v>
      </c>
      <c r="J37" t="e">
        <v>#NAME?</v>
      </c>
      <c r="O37">
        <f t="shared" si="1698"/>
        <v>34</v>
      </c>
      <c r="P37" t="e">
        <v>#NAME?</v>
      </c>
      <c r="U37">
        <f t="shared" si="1699"/>
        <v>34</v>
      </c>
      <c r="V37" t="e">
        <v>#NAME?</v>
      </c>
      <c r="AA37">
        <f t="shared" si="1700"/>
        <v>34</v>
      </c>
      <c r="AB37" t="e">
        <v>#NAME?</v>
      </c>
      <c r="AG37">
        <f t="shared" si="1701"/>
        <v>34</v>
      </c>
      <c r="AH37" t="e">
        <v>#NAME?</v>
      </c>
      <c r="AM37">
        <f t="shared" si="1702"/>
        <v>34</v>
      </c>
      <c r="AN37" t="e">
        <v>#NAME?</v>
      </c>
    </row>
    <row r="38">
      <c r="A38">
        <v>1967</v>
      </c>
      <c r="B38">
        <f>'Granger 1'!B38-'Granger 1'!B37</f>
        <v>35727</v>
      </c>
      <c r="C38">
        <f>'Granger 1'!C38-'Granger 1'!C37</f>
        <v>296</v>
      </c>
      <c r="I38">
        <f t="shared" si="1697"/>
        <v>35</v>
      </c>
      <c r="J38" t="e">
        <v>#NAME?</v>
      </c>
      <c r="O38">
        <f t="shared" si="1698"/>
        <v>35</v>
      </c>
      <c r="P38" t="e">
        <v>#NAME?</v>
      </c>
      <c r="U38">
        <f t="shared" si="1699"/>
        <v>35</v>
      </c>
      <c r="V38" t="e">
        <v>#NAME?</v>
      </c>
      <c r="AA38">
        <f t="shared" si="1700"/>
        <v>35</v>
      </c>
      <c r="AB38" t="e">
        <v>#NAME?</v>
      </c>
      <c r="AG38">
        <f t="shared" si="1701"/>
        <v>35</v>
      </c>
      <c r="AH38" t="e">
        <v>#NAME?</v>
      </c>
      <c r="AM38">
        <f t="shared" si="1702"/>
        <v>35</v>
      </c>
      <c r="AN38" t="e">
        <v>#NAME?</v>
      </c>
    </row>
    <row r="39">
      <c r="A39">
        <v>1968</v>
      </c>
      <c r="B39">
        <f>'Granger 1'!B39-'Granger 1'!B38</f>
        <v>-3588</v>
      </c>
      <c r="C39">
        <f>'Granger 1'!C39-'Granger 1'!C38</f>
        <v>-59</v>
      </c>
      <c r="I39">
        <f t="shared" si="1697"/>
        <v>36</v>
      </c>
      <c r="J39" t="e">
        <v>#NAME?</v>
      </c>
      <c r="O39">
        <f t="shared" si="1698"/>
        <v>36</v>
      </c>
      <c r="P39" t="e">
        <v>#NAME?</v>
      </c>
      <c r="U39">
        <f t="shared" si="1699"/>
        <v>36</v>
      </c>
      <c r="V39" t="e">
        <v>#NAME?</v>
      </c>
      <c r="AA39">
        <f t="shared" si="1700"/>
        <v>36</v>
      </c>
      <c r="AB39" t="e">
        <v>#NAME?</v>
      </c>
      <c r="AG39">
        <f t="shared" si="1701"/>
        <v>36</v>
      </c>
      <c r="AH39" t="e">
        <v>#NAME?</v>
      </c>
      <c r="AM39">
        <f t="shared" si="1702"/>
        <v>36</v>
      </c>
      <c r="AN39" t="e">
        <v>#NAME?</v>
      </c>
    </row>
    <row r="40">
      <c r="A40">
        <v>1969</v>
      </c>
      <c r="B40">
        <f>'Granger 1'!B40-'Granger 1'!B39</f>
        <v>-3062</v>
      </c>
      <c r="C40">
        <f>'Granger 1'!C40-'Granger 1'!C39</f>
        <v>-148</v>
      </c>
      <c r="I40">
        <f t="shared" si="1697"/>
        <v>37</v>
      </c>
      <c r="J40" t="e">
        <v>#NAME?</v>
      </c>
      <c r="O40">
        <f t="shared" si="1698"/>
        <v>37</v>
      </c>
      <c r="P40" t="e">
        <v>#NAME?</v>
      </c>
      <c r="U40">
        <f t="shared" si="1699"/>
        <v>37</v>
      </c>
      <c r="V40" t="e">
        <v>#NAME?</v>
      </c>
      <c r="AA40">
        <f t="shared" si="1700"/>
        <v>37</v>
      </c>
      <c r="AB40" t="e">
        <v>#NAME?</v>
      </c>
      <c r="AG40">
        <f t="shared" si="1701"/>
        <v>37</v>
      </c>
      <c r="AH40" t="e">
        <v>#NAME?</v>
      </c>
      <c r="AM40">
        <f t="shared" si="1702"/>
        <v>37</v>
      </c>
      <c r="AN40" t="e">
        <v>#NAME?</v>
      </c>
    </row>
    <row r="41">
      <c r="A41" s="14">
        <v>1970</v>
      </c>
      <c r="B41" s="14">
        <f>'Granger 1'!B41-'Granger 1'!B40</f>
        <v>11184</v>
      </c>
      <c r="C41" s="14">
        <f>'Granger 1'!C41-'Granger 1'!C40</f>
        <v>75</v>
      </c>
      <c r="I41">
        <f t="shared" si="1697"/>
        <v>38</v>
      </c>
      <c r="J41" t="e">
        <v>#NAME?</v>
      </c>
      <c r="O41">
        <f t="shared" si="1698"/>
        <v>38</v>
      </c>
      <c r="P41" t="e">
        <v>#NAME?</v>
      </c>
      <c r="U41">
        <f t="shared" si="1699"/>
        <v>38</v>
      </c>
      <c r="V41" t="e">
        <v>#NAME?</v>
      </c>
      <c r="AA41">
        <f t="shared" si="1700"/>
        <v>38</v>
      </c>
      <c r="AB41" t="e">
        <v>#NAME?</v>
      </c>
      <c r="AG41">
        <f t="shared" si="1701"/>
        <v>38</v>
      </c>
      <c r="AH41" t="e">
        <v>#NAME?</v>
      </c>
      <c r="AM41">
        <f t="shared" si="1702"/>
        <v>38</v>
      </c>
      <c r="AN41" t="e">
        <v>#NAME?</v>
      </c>
    </row>
    <row r="42">
      <c r="I42" s="14">
        <f t="shared" si="1697"/>
        <v>39</v>
      </c>
      <c r="J42" s="14" t="e">
        <v>#NAME?</v>
      </c>
      <c r="O42" s="14">
        <f t="shared" si="1698"/>
        <v>39</v>
      </c>
      <c r="P42" s="14" t="e">
        <v>#NAME?</v>
      </c>
      <c r="U42" s="14">
        <f t="shared" si="1699"/>
        <v>39</v>
      </c>
      <c r="V42" s="14" t="e">
        <v>#NAME?</v>
      </c>
      <c r="AA42" s="14">
        <f t="shared" si="1700"/>
        <v>39</v>
      </c>
      <c r="AB42" s="14" t="e">
        <v>#NAME?</v>
      </c>
      <c r="AG42" s="14">
        <f t="shared" si="1701"/>
        <v>39</v>
      </c>
      <c r="AH42" s="14" t="e">
        <v>#NAME?</v>
      </c>
      <c r="AM42" s="14">
        <f t="shared" si="1702"/>
        <v>39</v>
      </c>
      <c r="AN42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BD24" activeCellId="0" sqref="BD24"/>
    </sheetView>
  </sheetViews>
  <sheetFormatPr defaultRowHeight="14.25"/>
  <cols>
    <col customWidth="1" min="5" max="13" width="7.4553570000000002"/>
    <col customWidth="1" min="15" max="15" width="16.723213999999999"/>
    <col customWidth="1" min="17" max="17" width="9.1785709999999998"/>
    <col customWidth="1" min="24" max="24" width="17"/>
    <col customWidth="1" min="26" max="26" width="9.1785709999999998"/>
    <col customWidth="1" min="36" max="36" width="3"/>
    <col customWidth="1" min="43" max="43" width="2.723214"/>
    <col customWidth="1" min="44" max="44" width="27.455356999999999"/>
    <col customWidth="1" min="46" max="46" width="6.8125"/>
    <col customWidth="1" min="47" max="48" width="10.723214"/>
  </cols>
  <sheetData>
    <row r="1">
      <c r="A1" s="17" t="s">
        <v>616</v>
      </c>
      <c r="B1" s="17" t="s">
        <v>617</v>
      </c>
      <c r="C1" s="17" t="s">
        <v>618</v>
      </c>
    </row>
    <row r="2">
      <c r="A2">
        <v>1931</v>
      </c>
      <c r="E2" s="29" t="s">
        <v>621</v>
      </c>
      <c r="F2" s="29" t="s">
        <v>622</v>
      </c>
      <c r="G2" s="29" t="s">
        <v>623</v>
      </c>
      <c r="H2" s="29" t="s">
        <v>624</v>
      </c>
      <c r="I2" s="29" t="s">
        <v>625</v>
      </c>
      <c r="J2" s="29" t="s">
        <v>626</v>
      </c>
      <c r="K2" s="29" t="s">
        <v>627</v>
      </c>
      <c r="L2" s="29" t="s">
        <v>628</v>
      </c>
      <c r="M2" s="29" t="s">
        <v>629</v>
      </c>
      <c r="O2" t="s">
        <v>369</v>
      </c>
      <c r="Q2" s="15" t="s">
        <v>630</v>
      </c>
      <c r="X2" t="s">
        <v>369</v>
      </c>
      <c r="Z2" s="15" t="s">
        <v>631</v>
      </c>
      <c r="AH2" s="15" t="s">
        <v>630</v>
      </c>
      <c r="AI2" s="15" t="s">
        <v>631</v>
      </c>
      <c r="AP2" s="15"/>
    </row>
    <row r="3">
      <c r="A3">
        <v>1932</v>
      </c>
      <c r="B3">
        <f>'Granger 1'!B3-'Granger 1'!B2</f>
        <v>-12928</v>
      </c>
      <c r="C3">
        <f>'Granger 1'!C3-'Granger 1'!C2</f>
        <v>-205</v>
      </c>
      <c r="E3">
        <f t="shared" ref="E3:E6" si="1703">B6</f>
        <v>-43979</v>
      </c>
      <c r="F3">
        <f t="shared" ref="F3:F7" si="1704">B5</f>
        <v>-10586</v>
      </c>
      <c r="G3">
        <f t="shared" ref="G3:G8" si="1705">B4</f>
        <v>7708</v>
      </c>
      <c r="H3">
        <f t="shared" ref="H3:H9" si="1706">B3</f>
        <v>-12928</v>
      </c>
      <c r="I3">
        <f t="shared" ref="I3:I6" si="1707">C6</f>
        <v>-75</v>
      </c>
      <c r="J3">
        <f t="shared" ref="J3:J7" si="1708">C5</f>
        <v>-99</v>
      </c>
      <c r="K3">
        <f t="shared" ref="K3:K8" si="1709">C4</f>
        <v>-72</v>
      </c>
      <c r="L3">
        <f t="shared" ref="L3:L9" si="1710">C3</f>
        <v>-205</v>
      </c>
      <c r="M3">
        <f t="shared" ref="M3:M5" si="1711">B7</f>
        <v>13488</v>
      </c>
      <c r="AG3" t="s">
        <v>632</v>
      </c>
      <c r="AH3" s="5" t="e">
        <f>P6</f>
        <v>#NAME?</v>
      </c>
      <c r="AI3" s="6" t="e">
        <f>Y6</f>
        <v>#NAME?</v>
      </c>
      <c r="AK3" t="e">
        <v>#NAME?</v>
      </c>
      <c r="AL3" t="e">
        <v>#NAME?</v>
      </c>
      <c r="AO3" t="s">
        <v>633</v>
      </c>
      <c r="AP3" s="7" t="e">
        <v>#NAME?</v>
      </c>
      <c r="AR3" t="e">
        <v>#NAME?</v>
      </c>
      <c r="AT3" s="15" t="s">
        <v>332</v>
      </c>
      <c r="AU3" t="s">
        <v>634</v>
      </c>
      <c r="AV3" t="s">
        <v>635</v>
      </c>
    </row>
    <row r="4">
      <c r="A4">
        <v>1933</v>
      </c>
      <c r="B4">
        <f>'Granger 1'!B4-'Granger 1'!B3</f>
        <v>7708</v>
      </c>
      <c r="C4">
        <f>'Granger 1'!C4-'Granger 1'!C3</f>
        <v>-72</v>
      </c>
      <c r="E4">
        <f t="shared" si="1703"/>
        <v>13488</v>
      </c>
      <c r="F4">
        <f t="shared" si="1704"/>
        <v>-43979</v>
      </c>
      <c r="G4">
        <f t="shared" si="1705"/>
        <v>-10586</v>
      </c>
      <c r="H4">
        <f t="shared" si="1706"/>
        <v>7708</v>
      </c>
      <c r="I4">
        <f t="shared" si="1707"/>
        <v>85</v>
      </c>
      <c r="J4">
        <f t="shared" si="1708"/>
        <v>-75</v>
      </c>
      <c r="K4">
        <f t="shared" si="1709"/>
        <v>-99</v>
      </c>
      <c r="L4">
        <f t="shared" si="1710"/>
        <v>-72</v>
      </c>
      <c r="M4">
        <f t="shared" si="1711"/>
        <v>20475</v>
      </c>
      <c r="O4" s="49" t="s">
        <v>371</v>
      </c>
      <c r="P4" s="49"/>
      <c r="R4" s="49"/>
      <c r="S4" s="49"/>
      <c r="X4" s="49" t="s">
        <v>371</v>
      </c>
      <c r="Y4" s="49"/>
      <c r="AA4" s="49"/>
      <c r="AB4" s="49"/>
      <c r="AG4" t="s">
        <v>636</v>
      </c>
      <c r="AH4" s="8">
        <f>P14</f>
        <v>26</v>
      </c>
      <c r="AI4" s="9"/>
      <c r="AK4" t="e">
        <v>#NAME?</v>
      </c>
      <c r="AL4" t="e">
        <v>#NAME?</v>
      </c>
      <c r="AO4" t="s">
        <v>637</v>
      </c>
      <c r="AP4" s="10" t="e">
        <v>#NAME?</v>
      </c>
      <c r="AR4" t="e">
        <v>#NAME?</v>
      </c>
      <c r="AT4" s="15">
        <v>1</v>
      </c>
      <c r="AU4" s="5" t="e">
        <v>#NAME?</v>
      </c>
      <c r="AV4" s="6" t="e">
        <v>#NAME?</v>
      </c>
    </row>
    <row r="5">
      <c r="A5">
        <v>1934</v>
      </c>
      <c r="B5">
        <f>'Granger 1'!B5-'Granger 1'!B4</f>
        <v>-10586</v>
      </c>
      <c r="C5">
        <f>'Granger 1'!C5-'Granger 1'!C4</f>
        <v>-99</v>
      </c>
      <c r="E5">
        <f t="shared" si="1703"/>
        <v>20475</v>
      </c>
      <c r="F5">
        <f t="shared" si="1704"/>
        <v>13488</v>
      </c>
      <c r="G5">
        <f t="shared" si="1705"/>
        <v>-43979</v>
      </c>
      <c r="H5">
        <f t="shared" si="1706"/>
        <v>-10586</v>
      </c>
      <c r="I5">
        <f t="shared" si="1707"/>
        <v>277</v>
      </c>
      <c r="J5">
        <f t="shared" si="1708"/>
        <v>85</v>
      </c>
      <c r="K5">
        <f t="shared" si="1709"/>
        <v>-75</v>
      </c>
      <c r="L5">
        <f t="shared" si="1710"/>
        <v>-99</v>
      </c>
      <c r="M5">
        <f t="shared" si="1711"/>
        <v>-34297</v>
      </c>
      <c r="O5" t="s">
        <v>373</v>
      </c>
      <c r="P5" t="e">
        <f>SQRT(P6)</f>
        <v>#NAME?</v>
      </c>
      <c r="R5" t="s">
        <v>374</v>
      </c>
      <c r="S5" t="e">
        <f>P9*LN(Q14/P9)+2*(P13+1)</f>
        <v>#NAME?</v>
      </c>
      <c r="X5" t="s">
        <v>373</v>
      </c>
      <c r="Y5" t="e">
        <f>SQRT(Y6)</f>
        <v>#NAME?</v>
      </c>
      <c r="AA5" t="s">
        <v>374</v>
      </c>
      <c r="AB5" t="e">
        <f>Y9*LN(Z14/Y9)+2*(Y13+1)</f>
        <v>#NAME?</v>
      </c>
      <c r="AG5" t="s">
        <v>638</v>
      </c>
      <c r="AH5" s="11"/>
      <c r="AI5" s="12">
        <f>Y13</f>
        <v>4</v>
      </c>
      <c r="AK5" t="e">
        <v>#NAME?</v>
      </c>
      <c r="AL5" t="e">
        <v>#NAME?</v>
      </c>
      <c r="AO5" t="s">
        <v>636</v>
      </c>
      <c r="AP5" s="10">
        <f>COUNT(M3:M37)-AP6*2-1</f>
        <v>26</v>
      </c>
      <c r="AR5" t="e">
        <v>#NAME?</v>
      </c>
      <c r="AT5" s="15">
        <v>2</v>
      </c>
      <c r="AU5" s="8" t="e">
        <v>#NAME?</v>
      </c>
      <c r="AV5" s="9" t="e">
        <v>#NAME?</v>
      </c>
    </row>
    <row r="6">
      <c r="A6">
        <v>1935</v>
      </c>
      <c r="B6">
        <f>'Granger 1'!B6-'Granger 1'!B5</f>
        <v>-43979</v>
      </c>
      <c r="C6">
        <f>'Granger 1'!C6-'Granger 1'!C5</f>
        <v>-75</v>
      </c>
      <c r="E6">
        <f t="shared" si="1703"/>
        <v>-34297</v>
      </c>
      <c r="F6">
        <f t="shared" si="1704"/>
        <v>20475</v>
      </c>
      <c r="G6">
        <f t="shared" si="1705"/>
        <v>13488</v>
      </c>
      <c r="H6">
        <f t="shared" si="1706"/>
        <v>-43979</v>
      </c>
      <c r="I6">
        <f t="shared" si="1707"/>
        <v>-19</v>
      </c>
      <c r="J6">
        <f t="shared" si="1708"/>
        <v>277</v>
      </c>
      <c r="K6">
        <f t="shared" si="1709"/>
        <v>85</v>
      </c>
      <c r="L6">
        <f t="shared" si="1710"/>
        <v>-75</v>
      </c>
      <c r="M6">
        <f t="shared" ref="M6:M37" si="1712">B10</f>
        <v>28967</v>
      </c>
      <c r="O6" t="s">
        <v>375</v>
      </c>
      <c r="P6" t="e">
        <f>Q13/Q15</f>
        <v>#NAME?</v>
      </c>
      <c r="R6" t="s">
        <v>376</v>
      </c>
      <c r="S6" t="e">
        <f>S5+2*(P13+2)*(P13+3)/(P9-P13-3)</f>
        <v>#NAME?</v>
      </c>
      <c r="X6" t="s">
        <v>375</v>
      </c>
      <c r="Y6" t="e">
        <f>Z13/Z15</f>
        <v>#NAME?</v>
      </c>
      <c r="AA6" t="s">
        <v>376</v>
      </c>
      <c r="AB6" t="e">
        <f>AB5+2*(Y13+2)*(Y13+3)/(Y9-Y13-3)</f>
        <v>#NAME?</v>
      </c>
      <c r="AO6" t="s">
        <v>638</v>
      </c>
      <c r="AP6" s="13">
        <f>COUNT(E3:H3)</f>
        <v>4</v>
      </c>
      <c r="AR6" t="e">
        <v>#NAME?</v>
      </c>
      <c r="AT6" s="15">
        <v>3</v>
      </c>
      <c r="AU6" s="8" t="e">
        <v>#NAME?</v>
      </c>
      <c r="AV6" s="9" t="e">
        <v>#NAME?</v>
      </c>
    </row>
    <row r="7">
      <c r="A7">
        <v>1936</v>
      </c>
      <c r="B7">
        <f>'Granger 1'!B7-'Granger 1'!B6</f>
        <v>13488</v>
      </c>
      <c r="C7">
        <f>'Granger 1'!C7-'Granger 1'!C6</f>
        <v>85</v>
      </c>
      <c r="E7">
        <f t="shared" ref="E7:E37" si="1713">B10</f>
        <v>28967</v>
      </c>
      <c r="F7">
        <f t="shared" si="1704"/>
        <v>-34297</v>
      </c>
      <c r="G7">
        <f t="shared" si="1705"/>
        <v>20475</v>
      </c>
      <c r="H7">
        <f t="shared" si="1706"/>
        <v>13488</v>
      </c>
      <c r="I7">
        <f t="shared" ref="I7:I37" si="1714">C10</f>
        <v>137</v>
      </c>
      <c r="J7">
        <f t="shared" si="1708"/>
        <v>-19</v>
      </c>
      <c r="K7">
        <f t="shared" si="1709"/>
        <v>277</v>
      </c>
      <c r="L7">
        <f t="shared" si="1710"/>
        <v>85</v>
      </c>
      <c r="M7">
        <f t="shared" si="1712"/>
        <v>19697</v>
      </c>
      <c r="O7" t="s">
        <v>378</v>
      </c>
      <c r="P7" t="e">
        <f>1-(1-P6)*(P9-1)/(P9-P13-1)</f>
        <v>#NAME?</v>
      </c>
      <c r="R7" s="14" t="s">
        <v>395</v>
      </c>
      <c r="S7" s="14" t="e">
        <f>P9*LN(Q14/P9)+(P13+1)*LN(P9)</f>
        <v>#NAME?</v>
      </c>
      <c r="X7" t="s">
        <v>378</v>
      </c>
      <c r="Y7" t="e">
        <f>1-(1-Y6)*(Y9-1)/(Y9-Y13-1)</f>
        <v>#NAME?</v>
      </c>
      <c r="AA7" s="14" t="s">
        <v>395</v>
      </c>
      <c r="AB7" s="14" t="e">
        <f>Y9*LN(Z14/Y9)+(Y13+1)*LN(Y9)</f>
        <v>#NAME?</v>
      </c>
      <c r="AG7" t="s">
        <v>388</v>
      </c>
      <c r="AH7" s="7" t="e">
        <f>(AH3-AI3)*AH4/(1-AH3)/AI5</f>
        <v>#NAME?</v>
      </c>
      <c r="AK7" t="e">
        <v>#NAME?</v>
      </c>
      <c r="AT7" s="15">
        <v>4</v>
      </c>
      <c r="AU7" s="11" t="e">
        <v>#NAME?</v>
      </c>
      <c r="AV7" s="12" t="e">
        <v>#NAME?</v>
      </c>
    </row>
    <row r="8">
      <c r="A8">
        <v>1937</v>
      </c>
      <c r="B8">
        <f>'Granger 1'!B8-'Granger 1'!B7</f>
        <v>20475</v>
      </c>
      <c r="C8">
        <f>'Granger 1'!C8-'Granger 1'!C7</f>
        <v>277</v>
      </c>
      <c r="E8">
        <f t="shared" si="1713"/>
        <v>19697</v>
      </c>
      <c r="F8">
        <f t="shared" ref="F8:F37" si="1715">B10</f>
        <v>28967</v>
      </c>
      <c r="G8">
        <f t="shared" si="1705"/>
        <v>-34297</v>
      </c>
      <c r="H8">
        <f t="shared" si="1706"/>
        <v>20475</v>
      </c>
      <c r="I8">
        <f t="shared" si="1714"/>
        <v>79</v>
      </c>
      <c r="J8">
        <f t="shared" ref="J8:J37" si="1716">C10</f>
        <v>137</v>
      </c>
      <c r="K8">
        <f t="shared" si="1709"/>
        <v>-19</v>
      </c>
      <c r="L8">
        <f t="shared" si="1710"/>
        <v>277</v>
      </c>
      <c r="M8">
        <f t="shared" si="1712"/>
        <v>-15447</v>
      </c>
      <c r="O8" t="s">
        <v>381</v>
      </c>
      <c r="P8" t="e">
        <f>SQRT(R14)</f>
        <v>#NAME?</v>
      </c>
      <c r="X8" t="s">
        <v>381</v>
      </c>
      <c r="Y8" t="e">
        <f>SQRT(AA14)</f>
        <v>#NAME?</v>
      </c>
      <c r="AG8" t="s">
        <v>189</v>
      </c>
      <c r="AH8" s="13" t="e">
        <f>FDIST(AH7,AI5,AH4)</f>
        <v>#NAME?</v>
      </c>
      <c r="AK8" t="e">
        <v>#NAME?</v>
      </c>
      <c r="AO8" t="s">
        <v>388</v>
      </c>
      <c r="AP8" s="7" t="e">
        <f>(AP3-AP4)*AP5/(1-AP3)/AP6</f>
        <v>#NAME?</v>
      </c>
      <c r="AR8" t="e">
        <v>#NAME?</v>
      </c>
    </row>
    <row r="9">
      <c r="A9">
        <v>1938</v>
      </c>
      <c r="B9">
        <f>'Granger 1'!B9-'Granger 1'!B8</f>
        <v>-34297</v>
      </c>
      <c r="C9">
        <f>'Granger 1'!C9-'Granger 1'!C8</f>
        <v>-19</v>
      </c>
      <c r="E9">
        <f t="shared" si="1713"/>
        <v>-15447</v>
      </c>
      <c r="F9">
        <f t="shared" si="1715"/>
        <v>19697</v>
      </c>
      <c r="G9">
        <f t="shared" ref="G9:G37" si="1717">B10</f>
        <v>28967</v>
      </c>
      <c r="H9">
        <f t="shared" si="1706"/>
        <v>-34297</v>
      </c>
      <c r="I9">
        <f t="shared" si="1714"/>
        <v>200</v>
      </c>
      <c r="J9">
        <f t="shared" si="1716"/>
        <v>79</v>
      </c>
      <c r="K9">
        <f t="shared" ref="K9:K37" si="1718">C10</f>
        <v>137</v>
      </c>
      <c r="L9">
        <f t="shared" si="1710"/>
        <v>-19</v>
      </c>
      <c r="M9">
        <f t="shared" si="1712"/>
        <v>54094</v>
      </c>
      <c r="O9" s="14" t="s">
        <v>383</v>
      </c>
      <c r="P9" s="14">
        <f>COUNT(M3:M37)</f>
        <v>35</v>
      </c>
      <c r="X9" s="14" t="s">
        <v>383</v>
      </c>
      <c r="Y9" s="14">
        <f>COUNT(M3:M37)</f>
        <v>35</v>
      </c>
      <c r="AO9" t="s">
        <v>189</v>
      </c>
      <c r="AP9" s="13" t="e">
        <f>FDIST(AP8,AP6,AP5)</f>
        <v>#NAME?</v>
      </c>
      <c r="AR9" t="e">
        <v>#NAME?</v>
      </c>
    </row>
    <row r="10">
      <c r="A10">
        <v>1939</v>
      </c>
      <c r="B10">
        <f>'Granger 1'!B10-'Granger 1'!B9</f>
        <v>28967</v>
      </c>
      <c r="C10">
        <f>'Granger 1'!C10-'Granger 1'!C9</f>
        <v>137</v>
      </c>
      <c r="E10">
        <f t="shared" si="1713"/>
        <v>54094</v>
      </c>
      <c r="F10">
        <f t="shared" si="1715"/>
        <v>-15447</v>
      </c>
      <c r="G10">
        <f t="shared" si="1717"/>
        <v>19697</v>
      </c>
      <c r="H10">
        <f t="shared" ref="H10:H37" si="1719">B10</f>
        <v>28967</v>
      </c>
      <c r="I10">
        <f t="shared" si="1714"/>
        <v>616</v>
      </c>
      <c r="J10">
        <f t="shared" si="1716"/>
        <v>200</v>
      </c>
      <c r="K10">
        <f t="shared" si="1718"/>
        <v>79</v>
      </c>
      <c r="L10">
        <f t="shared" ref="L10:L37" si="1720">C10</f>
        <v>137</v>
      </c>
      <c r="M10">
        <f t="shared" si="1712"/>
        <v>65112</v>
      </c>
      <c r="AG10" t="s">
        <v>189</v>
      </c>
      <c r="AH10" s="18" t="e">
        <v>#NAME?</v>
      </c>
      <c r="AK10" t="e">
        <v>#NAME?</v>
      </c>
    </row>
    <row r="11">
      <c r="A11">
        <v>1940</v>
      </c>
      <c r="B11">
        <f>'Granger 1'!B11-'Granger 1'!B10</f>
        <v>19697</v>
      </c>
      <c r="C11">
        <f>'Granger 1'!C11-'Granger 1'!C10</f>
        <v>79</v>
      </c>
      <c r="E11">
        <f t="shared" si="1713"/>
        <v>65112</v>
      </c>
      <c r="F11">
        <f t="shared" si="1715"/>
        <v>54094</v>
      </c>
      <c r="G11">
        <f t="shared" si="1717"/>
        <v>-15447</v>
      </c>
      <c r="H11">
        <f t="shared" si="1719"/>
        <v>19697</v>
      </c>
      <c r="I11">
        <f t="shared" si="1714"/>
        <v>544</v>
      </c>
      <c r="J11">
        <f t="shared" si="1716"/>
        <v>616</v>
      </c>
      <c r="K11">
        <f t="shared" si="1718"/>
        <v>200</v>
      </c>
      <c r="L11">
        <f t="shared" si="1720"/>
        <v>79</v>
      </c>
      <c r="M11">
        <f t="shared" si="1712"/>
        <v>40150</v>
      </c>
      <c r="O11" t="s">
        <v>384</v>
      </c>
      <c r="S11" s="15" t="s">
        <v>385</v>
      </c>
      <c r="T11" s="15">
        <v>5.0000000000000003e-02</v>
      </c>
      <c r="X11" t="s">
        <v>384</v>
      </c>
      <c r="AB11" s="15" t="s">
        <v>385</v>
      </c>
      <c r="AC11" s="15">
        <v>5.0000000000000003e-02</v>
      </c>
    </row>
    <row r="12">
      <c r="A12">
        <v>1941</v>
      </c>
      <c r="B12">
        <f>'Granger 1'!B12-'Granger 1'!B11</f>
        <v>-15447</v>
      </c>
      <c r="C12">
        <f>'Granger 1'!C12-'Granger 1'!C11</f>
        <v>200</v>
      </c>
      <c r="E12">
        <f t="shared" si="1713"/>
        <v>40150</v>
      </c>
      <c r="F12">
        <f t="shared" si="1715"/>
        <v>65112</v>
      </c>
      <c r="G12">
        <f t="shared" si="1717"/>
        <v>54094</v>
      </c>
      <c r="H12">
        <f t="shared" si="1719"/>
        <v>-15447</v>
      </c>
      <c r="I12">
        <f t="shared" si="1714"/>
        <v>366</v>
      </c>
      <c r="J12">
        <f t="shared" si="1716"/>
        <v>544</v>
      </c>
      <c r="K12">
        <f t="shared" si="1718"/>
        <v>616</v>
      </c>
      <c r="L12">
        <f t="shared" si="1720"/>
        <v>200</v>
      </c>
      <c r="M12">
        <f t="shared" si="1712"/>
        <v>-65700</v>
      </c>
      <c r="O12" s="24"/>
      <c r="P12" s="24" t="s">
        <v>294</v>
      </c>
      <c r="Q12" s="24" t="s">
        <v>386</v>
      </c>
      <c r="R12" s="24" t="s">
        <v>387</v>
      </c>
      <c r="S12" s="24" t="s">
        <v>388</v>
      </c>
      <c r="T12" s="24" t="s">
        <v>189</v>
      </c>
      <c r="U12" s="24" t="s">
        <v>204</v>
      </c>
      <c r="X12" s="24"/>
      <c r="Y12" s="24" t="s">
        <v>294</v>
      </c>
      <c r="Z12" s="24" t="s">
        <v>386</v>
      </c>
      <c r="AA12" s="24" t="s">
        <v>387</v>
      </c>
      <c r="AB12" s="24" t="s">
        <v>388</v>
      </c>
      <c r="AC12" s="24" t="s">
        <v>189</v>
      </c>
      <c r="AD12" s="24" t="s">
        <v>204</v>
      </c>
      <c r="AG12" t="s">
        <v>388</v>
      </c>
      <c r="AH12" s="7" t="e">
        <v>#NAME?</v>
      </c>
      <c r="AK12" t="e">
        <v>#NAME?</v>
      </c>
    </row>
    <row r="13">
      <c r="A13">
        <v>1942</v>
      </c>
      <c r="B13">
        <f>'Granger 1'!B13-'Granger 1'!B12</f>
        <v>54094</v>
      </c>
      <c r="C13">
        <f>'Granger 1'!C13-'Granger 1'!C12</f>
        <v>616</v>
      </c>
      <c r="E13">
        <f t="shared" si="1713"/>
        <v>-65700</v>
      </c>
      <c r="F13">
        <f t="shared" si="1715"/>
        <v>40150</v>
      </c>
      <c r="G13">
        <f t="shared" si="1717"/>
        <v>65112</v>
      </c>
      <c r="H13">
        <f t="shared" si="1719"/>
        <v>54094</v>
      </c>
      <c r="I13">
        <f t="shared" si="1714"/>
        <v>-212</v>
      </c>
      <c r="J13">
        <f t="shared" si="1716"/>
        <v>366</v>
      </c>
      <c r="K13">
        <f t="shared" si="1718"/>
        <v>544</v>
      </c>
      <c r="L13">
        <f t="shared" si="1720"/>
        <v>616</v>
      </c>
      <c r="M13">
        <f t="shared" si="1712"/>
        <v>6730</v>
      </c>
      <c r="O13" t="s">
        <v>389</v>
      </c>
      <c r="P13">
        <f>COUNT(E3:L3)</f>
        <v>8</v>
      </c>
      <c r="Q13" t="e">
        <v>#NAME?</v>
      </c>
      <c r="R13" t="e">
        <f t="shared" ref="R13:R14" si="1721">Q13/P13</f>
        <v>#NAME?</v>
      </c>
      <c r="S13" t="e">
        <f>R13/R14</f>
        <v>#NAME?</v>
      </c>
      <c r="T13" t="e">
        <f>_xlfn.F.DIST.RT(S13,P13,P14)</f>
        <v>#NAME?</v>
      </c>
      <c r="U13" s="15" t="e">
        <f>IF(T13&lt;T11,"yes","no")</f>
        <v>#NAME?</v>
      </c>
      <c r="X13" t="s">
        <v>389</v>
      </c>
      <c r="Y13">
        <f>COUNT(E3:H3)</f>
        <v>4</v>
      </c>
      <c r="Z13" t="e">
        <v>#NAME?</v>
      </c>
      <c r="AA13" t="e">
        <f t="shared" ref="AA13:AA14" si="1722">Z13/Y13</f>
        <v>#NAME?</v>
      </c>
      <c r="AB13" t="e">
        <f>AA13/AA14</f>
        <v>#NAME?</v>
      </c>
      <c r="AC13" t="e">
        <f>_xlfn.F.DIST.RT(AB13,Y13,Y14)</f>
        <v>#NAME?</v>
      </c>
      <c r="AD13" s="15" t="e">
        <f>IF(AC13&lt;AC11,"yes","no")</f>
        <v>#NAME?</v>
      </c>
      <c r="AG13" t="s">
        <v>189</v>
      </c>
      <c r="AH13" s="13" t="e">
        <v>#NAME?</v>
      </c>
      <c r="AK13" t="e">
        <v>#NAME?</v>
      </c>
    </row>
    <row r="14">
      <c r="A14">
        <v>1943</v>
      </c>
      <c r="B14">
        <f>'Granger 1'!B14-'Granger 1'!B13</f>
        <v>65112</v>
      </c>
      <c r="C14">
        <f>'Granger 1'!C14-'Granger 1'!C13</f>
        <v>544</v>
      </c>
      <c r="E14">
        <f t="shared" si="1713"/>
        <v>6730</v>
      </c>
      <c r="F14">
        <f t="shared" si="1715"/>
        <v>-65700</v>
      </c>
      <c r="G14">
        <f t="shared" si="1717"/>
        <v>40150</v>
      </c>
      <c r="H14">
        <f t="shared" si="1719"/>
        <v>65112</v>
      </c>
      <c r="I14">
        <f t="shared" si="1714"/>
        <v>-24</v>
      </c>
      <c r="J14">
        <f t="shared" si="1716"/>
        <v>-212</v>
      </c>
      <c r="K14">
        <f t="shared" si="1718"/>
        <v>366</v>
      </c>
      <c r="L14">
        <f t="shared" si="1720"/>
        <v>544</v>
      </c>
      <c r="M14">
        <f t="shared" si="1712"/>
        <v>-56010</v>
      </c>
      <c r="O14" t="s">
        <v>342</v>
      </c>
      <c r="P14">
        <f>P15-P13</f>
        <v>26</v>
      </c>
      <c r="Q14" t="e">
        <f>Q15-Q13</f>
        <v>#NAME?</v>
      </c>
      <c r="R14" t="e">
        <f t="shared" si="1721"/>
        <v>#NAME?</v>
      </c>
      <c r="X14" t="s">
        <v>342</v>
      </c>
      <c r="Y14">
        <f>Y15-Y13</f>
        <v>30</v>
      </c>
      <c r="Z14" t="e">
        <f>Z15-Z13</f>
        <v>#NAME?</v>
      </c>
      <c r="AA14" t="e">
        <f t="shared" si="1722"/>
        <v>#NAME?</v>
      </c>
    </row>
    <row r="15">
      <c r="A15">
        <v>1944</v>
      </c>
      <c r="B15">
        <f>'Granger 1'!B15-'Granger 1'!B14</f>
        <v>40150</v>
      </c>
      <c r="C15">
        <f>'Granger 1'!C15-'Granger 1'!C14</f>
        <v>366</v>
      </c>
      <c r="E15">
        <f t="shared" si="1713"/>
        <v>-56010</v>
      </c>
      <c r="F15">
        <f t="shared" si="1715"/>
        <v>6730</v>
      </c>
      <c r="G15">
        <f t="shared" si="1717"/>
        <v>-65700</v>
      </c>
      <c r="H15">
        <f t="shared" si="1719"/>
        <v>40150</v>
      </c>
      <c r="I15">
        <f t="shared" si="1714"/>
        <v>-53</v>
      </c>
      <c r="J15">
        <f t="shared" si="1716"/>
        <v>-24</v>
      </c>
      <c r="K15">
        <f t="shared" si="1718"/>
        <v>-212</v>
      </c>
      <c r="L15">
        <f t="shared" si="1720"/>
        <v>366</v>
      </c>
      <c r="M15">
        <f t="shared" si="1712"/>
        <v>32427</v>
      </c>
      <c r="O15" s="14" t="s">
        <v>390</v>
      </c>
      <c r="P15" s="14">
        <f>P9-1</f>
        <v>34</v>
      </c>
      <c r="Q15" s="14">
        <f>DEVSQ(M3:M37)</f>
        <v>30045692162.171398</v>
      </c>
      <c r="R15" s="14"/>
      <c r="S15" s="14"/>
      <c r="T15" s="14"/>
      <c r="U15" s="14"/>
      <c r="X15" s="14" t="s">
        <v>390</v>
      </c>
      <c r="Y15" s="14">
        <f>Y9-1</f>
        <v>34</v>
      </c>
      <c r="Z15" s="14">
        <f>DEVSQ(M3:M37)</f>
        <v>30045692162.171398</v>
      </c>
      <c r="AA15" s="14"/>
      <c r="AB15" s="14"/>
      <c r="AC15" s="14"/>
      <c r="AD15" s="14"/>
    </row>
    <row r="16">
      <c r="A16">
        <v>1945</v>
      </c>
      <c r="B16">
        <f>'Granger 1'!B16-'Granger 1'!B15</f>
        <v>-65700</v>
      </c>
      <c r="C16">
        <f>'Granger 1'!C16-'Granger 1'!C15</f>
        <v>-212</v>
      </c>
      <c r="E16">
        <f t="shared" si="1713"/>
        <v>32427</v>
      </c>
      <c r="F16">
        <f t="shared" si="1715"/>
        <v>-56010</v>
      </c>
      <c r="G16">
        <f t="shared" si="1717"/>
        <v>6730</v>
      </c>
      <c r="H16">
        <f t="shared" si="1719"/>
        <v>-65700</v>
      </c>
      <c r="I16">
        <f t="shared" si="1714"/>
        <v>-45</v>
      </c>
      <c r="J16">
        <f t="shared" si="1716"/>
        <v>-53</v>
      </c>
      <c r="K16">
        <f t="shared" si="1718"/>
        <v>-24</v>
      </c>
      <c r="L16">
        <f t="shared" si="1720"/>
        <v>-212</v>
      </c>
      <c r="M16">
        <f t="shared" si="1712"/>
        <v>-68768</v>
      </c>
    </row>
    <row r="17">
      <c r="A17">
        <v>1946</v>
      </c>
      <c r="B17">
        <f>'Granger 1'!B17-'Granger 1'!B16</f>
        <v>6730</v>
      </c>
      <c r="C17">
        <f>'Granger 1'!C17-'Granger 1'!C16</f>
        <v>-24</v>
      </c>
      <c r="E17">
        <f t="shared" si="1713"/>
        <v>-68768</v>
      </c>
      <c r="F17">
        <f t="shared" si="1715"/>
        <v>32427</v>
      </c>
      <c r="G17">
        <f t="shared" si="1717"/>
        <v>-56010</v>
      </c>
      <c r="H17">
        <f t="shared" si="1719"/>
        <v>6730</v>
      </c>
      <c r="I17">
        <f t="shared" si="1714"/>
        <v>116</v>
      </c>
      <c r="J17">
        <f t="shared" si="1716"/>
        <v>-45</v>
      </c>
      <c r="K17">
        <f t="shared" si="1718"/>
        <v>-53</v>
      </c>
      <c r="L17">
        <f t="shared" si="1720"/>
        <v>-24</v>
      </c>
      <c r="M17">
        <f t="shared" si="1712"/>
        <v>25673</v>
      </c>
      <c r="O17" s="24"/>
      <c r="P17" s="24" t="s">
        <v>391</v>
      </c>
      <c r="Q17" s="24" t="s">
        <v>392</v>
      </c>
      <c r="R17" s="24" t="s">
        <v>393</v>
      </c>
      <c r="S17" s="24" t="s">
        <v>189</v>
      </c>
      <c r="T17" s="24" t="s">
        <v>215</v>
      </c>
      <c r="U17" s="24" t="s">
        <v>216</v>
      </c>
      <c r="V17" s="24" t="s">
        <v>397</v>
      </c>
      <c r="X17" s="24"/>
      <c r="Y17" s="24" t="s">
        <v>391</v>
      </c>
      <c r="Z17" s="24" t="s">
        <v>392</v>
      </c>
      <c r="AA17" s="24" t="s">
        <v>393</v>
      </c>
      <c r="AB17" s="24" t="s">
        <v>189</v>
      </c>
      <c r="AC17" s="24" t="s">
        <v>215</v>
      </c>
      <c r="AD17" s="24" t="s">
        <v>216</v>
      </c>
      <c r="AE17" s="24" t="s">
        <v>397</v>
      </c>
    </row>
    <row r="18">
      <c r="A18">
        <v>1947</v>
      </c>
      <c r="B18">
        <f>'Granger 1'!B18-'Granger 1'!B17</f>
        <v>-56010</v>
      </c>
      <c r="C18">
        <f>'Granger 1'!C18-'Granger 1'!C17</f>
        <v>-53</v>
      </c>
      <c r="E18">
        <f t="shared" si="1713"/>
        <v>25673</v>
      </c>
      <c r="F18">
        <f t="shared" si="1715"/>
        <v>-68768</v>
      </c>
      <c r="G18">
        <f t="shared" si="1717"/>
        <v>32427</v>
      </c>
      <c r="H18">
        <f t="shared" si="1719"/>
        <v>-56010</v>
      </c>
      <c r="I18">
        <f t="shared" si="1714"/>
        <v>256</v>
      </c>
      <c r="J18">
        <f t="shared" si="1716"/>
        <v>116</v>
      </c>
      <c r="K18">
        <f t="shared" si="1718"/>
        <v>-45</v>
      </c>
      <c r="L18">
        <f t="shared" si="1720"/>
        <v>-53</v>
      </c>
      <c r="M18">
        <f t="shared" si="1712"/>
        <v>-25561</v>
      </c>
      <c r="O18" t="s">
        <v>396</v>
      </c>
      <c r="P18" t="e">
        <v>#NAME?</v>
      </c>
      <c r="Q18" t="e">
        <v>#NAME?</v>
      </c>
      <c r="R18" t="e">
        <f t="shared" ref="R18:R26" si="1723">P18/Q18</f>
        <v>#NAME?</v>
      </c>
      <c r="S18" t="e">
        <f t="shared" ref="S18:S26" si="1724">_xlfn.T.DIST.2T(ABS(R18),$P$14)</f>
        <v>#NAME?</v>
      </c>
      <c r="T18" t="e">
        <f t="shared" ref="T18:T26" si="1725">P18-_xlfn.T.INV.2T(T$11,$P$14)*Q18</f>
        <v>#NAME?</v>
      </c>
      <c r="U18" t="e">
        <f t="shared" ref="U18:U26" si="1726">P18+_xlfn.T.INV.2T(T$11,$P$14)*Q18</f>
        <v>#NAME?</v>
      </c>
      <c r="X18" t="s">
        <v>396</v>
      </c>
      <c r="Y18" t="e">
        <v>#NAME?</v>
      </c>
      <c r="Z18" t="e">
        <v>#NAME?</v>
      </c>
      <c r="AA18" t="e">
        <f t="shared" ref="AA18:AA22" si="1727">Y18/Z18</f>
        <v>#NAME?</v>
      </c>
      <c r="AB18" t="e">
        <f t="shared" ref="AB18:AB22" si="1728">_xlfn.T.DIST.2T(ABS(AA18),$Y$14)</f>
        <v>#NAME?</v>
      </c>
      <c r="AC18" t="e">
        <f t="shared" ref="AC18:AC22" si="1729">Y18-_xlfn.T.INV.2T(AC$11,$Y$14)*Z18</f>
        <v>#NAME?</v>
      </c>
      <c r="AD18" t="e">
        <f t="shared" ref="AD18:AD22" si="1730">Y18+_xlfn.T.INV.2T(AC$11,$Y$14)*Z18</f>
        <v>#NAME?</v>
      </c>
    </row>
    <row r="19">
      <c r="A19">
        <v>1948</v>
      </c>
      <c r="B19">
        <f>'Granger 1'!B19-'Granger 1'!B18</f>
        <v>32427</v>
      </c>
      <c r="C19">
        <f>'Granger 1'!C19-'Granger 1'!C18</f>
        <v>-45</v>
      </c>
      <c r="E19">
        <f t="shared" si="1713"/>
        <v>-25561</v>
      </c>
      <c r="F19">
        <f t="shared" si="1715"/>
        <v>25673</v>
      </c>
      <c r="G19">
        <f t="shared" si="1717"/>
        <v>-68768</v>
      </c>
      <c r="H19">
        <f t="shared" si="1719"/>
        <v>32427</v>
      </c>
      <c r="I19">
        <f t="shared" si="1714"/>
        <v>-82</v>
      </c>
      <c r="J19">
        <f t="shared" si="1716"/>
        <v>256</v>
      </c>
      <c r="K19">
        <f t="shared" si="1718"/>
        <v>116</v>
      </c>
      <c r="L19">
        <f t="shared" si="1720"/>
        <v>-45</v>
      </c>
      <c r="M19">
        <f t="shared" si="1712"/>
        <v>-4433</v>
      </c>
      <c r="O19" t="str">
        <f t="array" ref="O19:O26">TRANSPOSE(E2:L2)</f>
        <v>chick-1</v>
      </c>
      <c r="P19" t="e">
        <v>#NAME?</v>
      </c>
      <c r="Q19" t="e">
        <v>#NAME?</v>
      </c>
      <c r="R19" t="e">
        <f t="shared" si="1723"/>
        <v>#NAME?</v>
      </c>
      <c r="S19" t="e">
        <f t="shared" si="1724"/>
        <v>#NAME?</v>
      </c>
      <c r="T19" t="e">
        <f t="shared" si="1725"/>
        <v>#NAME?</v>
      </c>
      <c r="U19" t="e">
        <f t="shared" si="1726"/>
        <v>#NAME?</v>
      </c>
      <c r="V19" t="e">
        <v>#NAME?</v>
      </c>
      <c r="X19" t="str">
        <f t="array" ref="X19:X22">TRANSPOSE(E2:H2)</f>
        <v>chick-1</v>
      </c>
      <c r="Y19" t="e">
        <v>#NAME?</v>
      </c>
      <c r="Z19" t="e">
        <v>#NAME?</v>
      </c>
      <c r="AA19" t="e">
        <f t="shared" si="1727"/>
        <v>#NAME?</v>
      </c>
      <c r="AB19" t="e">
        <f t="shared" si="1728"/>
        <v>#NAME?</v>
      </c>
      <c r="AC19" t="e">
        <f t="shared" si="1729"/>
        <v>#NAME?</v>
      </c>
      <c r="AD19" t="e">
        <f t="shared" si="1730"/>
        <v>#NAME?</v>
      </c>
      <c r="AE19" t="e">
        <v>#NAME?</v>
      </c>
    </row>
    <row r="20">
      <c r="A20">
        <v>1949</v>
      </c>
      <c r="B20">
        <f>'Granger 1'!B20-'Granger 1'!B19</f>
        <v>-68768</v>
      </c>
      <c r="C20">
        <f>'Granger 1'!C20-'Granger 1'!C19</f>
        <v>116</v>
      </c>
      <c r="E20">
        <f t="shared" si="1713"/>
        <v>-4433</v>
      </c>
      <c r="F20">
        <f t="shared" si="1715"/>
        <v>-25561</v>
      </c>
      <c r="G20">
        <f t="shared" si="1717"/>
        <v>25673</v>
      </c>
      <c r="H20">
        <f t="shared" si="1719"/>
        <v>-68768</v>
      </c>
      <c r="I20">
        <f t="shared" si="1714"/>
        <v>1</v>
      </c>
      <c r="J20">
        <f t="shared" si="1716"/>
        <v>-82</v>
      </c>
      <c r="K20">
        <f t="shared" si="1718"/>
        <v>256</v>
      </c>
      <c r="L20">
        <f t="shared" si="1720"/>
        <v>116</v>
      </c>
      <c r="M20">
        <f t="shared" si="1712"/>
        <v>-28399</v>
      </c>
      <c r="O20" t="str">
        <f/>
        <v>chick-2</v>
      </c>
      <c r="P20" t="e">
        <v>#NAME?</v>
      </c>
      <c r="Q20" t="e">
        <v>#NAME?</v>
      </c>
      <c r="R20" t="e">
        <f t="shared" si="1723"/>
        <v>#NAME?</v>
      </c>
      <c r="S20" t="e">
        <f t="shared" si="1724"/>
        <v>#NAME?</v>
      </c>
      <c r="T20" t="e">
        <f t="shared" si="1725"/>
        <v>#NAME?</v>
      </c>
      <c r="U20" t="e">
        <f t="shared" si="1726"/>
        <v>#NAME?</v>
      </c>
      <c r="V20" t="e">
        <v>#NAME?</v>
      </c>
      <c r="X20" t="str">
        <f/>
        <v>chick-2</v>
      </c>
      <c r="Y20" t="e">
        <v>#NAME?</v>
      </c>
      <c r="Z20" t="e">
        <v>#NAME?</v>
      </c>
      <c r="AA20" t="e">
        <f t="shared" si="1727"/>
        <v>#NAME?</v>
      </c>
      <c r="AB20" t="e">
        <f t="shared" si="1728"/>
        <v>#NAME?</v>
      </c>
      <c r="AC20" t="e">
        <f t="shared" si="1729"/>
        <v>#NAME?</v>
      </c>
      <c r="AD20" t="e">
        <f t="shared" si="1730"/>
        <v>#NAME?</v>
      </c>
      <c r="AE20" t="e">
        <v>#NAME?</v>
      </c>
    </row>
    <row r="21">
      <c r="A21">
        <v>1950</v>
      </c>
      <c r="B21">
        <f>'Granger 1'!B21-'Granger 1'!B20</f>
        <v>25673</v>
      </c>
      <c r="C21">
        <f>'Granger 1'!C21-'Granger 1'!C20</f>
        <v>256</v>
      </c>
      <c r="E21">
        <f t="shared" si="1713"/>
        <v>-28399</v>
      </c>
      <c r="F21">
        <f t="shared" si="1715"/>
        <v>-4433</v>
      </c>
      <c r="G21">
        <f t="shared" si="1717"/>
        <v>-25561</v>
      </c>
      <c r="H21">
        <f t="shared" si="1719"/>
        <v>25673</v>
      </c>
      <c r="I21">
        <f t="shared" si="1714"/>
        <v>-16</v>
      </c>
      <c r="J21">
        <f t="shared" si="1716"/>
        <v>1</v>
      </c>
      <c r="K21">
        <f t="shared" si="1718"/>
        <v>-82</v>
      </c>
      <c r="L21">
        <f t="shared" si="1720"/>
        <v>256</v>
      </c>
      <c r="M21">
        <f t="shared" si="1712"/>
        <v>-1380</v>
      </c>
      <c r="O21" t="str">
        <f/>
        <v>chick-3</v>
      </c>
      <c r="P21" t="e">
        <v>#NAME?</v>
      </c>
      <c r="Q21" t="e">
        <v>#NAME?</v>
      </c>
      <c r="R21" t="e">
        <f t="shared" si="1723"/>
        <v>#NAME?</v>
      </c>
      <c r="S21" t="e">
        <f t="shared" si="1724"/>
        <v>#NAME?</v>
      </c>
      <c r="T21" t="e">
        <f t="shared" si="1725"/>
        <v>#NAME?</v>
      </c>
      <c r="U21" t="e">
        <f t="shared" si="1726"/>
        <v>#NAME?</v>
      </c>
      <c r="V21" t="e">
        <v>#NAME?</v>
      </c>
      <c r="X21" t="str">
        <f/>
        <v>chick-3</v>
      </c>
      <c r="Y21" t="e">
        <v>#NAME?</v>
      </c>
      <c r="Z21" t="e">
        <v>#NAME?</v>
      </c>
      <c r="AA21" t="e">
        <f t="shared" si="1727"/>
        <v>#NAME?</v>
      </c>
      <c r="AB21" t="e">
        <f t="shared" si="1728"/>
        <v>#NAME?</v>
      </c>
      <c r="AC21" t="e">
        <f t="shared" si="1729"/>
        <v>#NAME?</v>
      </c>
      <c r="AD21" t="e">
        <f t="shared" si="1730"/>
        <v>#NAME?</v>
      </c>
      <c r="AE21" t="e">
        <v>#NAME?</v>
      </c>
    </row>
    <row r="22">
      <c r="A22">
        <v>1951</v>
      </c>
      <c r="B22">
        <f>'Granger 1'!B22-'Granger 1'!B21</f>
        <v>-25561</v>
      </c>
      <c r="C22">
        <f>'Granger 1'!C22-'Granger 1'!C21</f>
        <v>-82</v>
      </c>
      <c r="E22">
        <f t="shared" si="1713"/>
        <v>-1380</v>
      </c>
      <c r="F22">
        <f t="shared" si="1715"/>
        <v>-28399</v>
      </c>
      <c r="G22">
        <f t="shared" si="1717"/>
        <v>-4433</v>
      </c>
      <c r="H22">
        <f t="shared" si="1719"/>
        <v>-25561</v>
      </c>
      <c r="I22">
        <f t="shared" si="1714"/>
        <v>95</v>
      </c>
      <c r="J22">
        <f t="shared" si="1716"/>
        <v>-16</v>
      </c>
      <c r="K22">
        <f t="shared" si="1718"/>
        <v>1</v>
      </c>
      <c r="L22">
        <f t="shared" si="1720"/>
        <v>-82</v>
      </c>
      <c r="M22">
        <f t="shared" si="1712"/>
        <v>-6068</v>
      </c>
      <c r="O22" t="str">
        <f/>
        <v>chick-4</v>
      </c>
      <c r="P22" t="e">
        <v>#NAME?</v>
      </c>
      <c r="Q22" t="e">
        <v>#NAME?</v>
      </c>
      <c r="R22" t="e">
        <f t="shared" si="1723"/>
        <v>#NAME?</v>
      </c>
      <c r="S22" t="e">
        <f t="shared" si="1724"/>
        <v>#NAME?</v>
      </c>
      <c r="T22" t="e">
        <f t="shared" si="1725"/>
        <v>#NAME?</v>
      </c>
      <c r="U22" t="e">
        <f t="shared" si="1726"/>
        <v>#NAME?</v>
      </c>
      <c r="V22" t="e">
        <v>#NAME?</v>
      </c>
      <c r="X22" s="14" t="str">
        <f/>
        <v>chick-4</v>
      </c>
      <c r="Y22" s="14" t="e">
        <v>#NAME?</v>
      </c>
      <c r="Z22" s="14" t="e">
        <v>#NAME?</v>
      </c>
      <c r="AA22" s="14" t="e">
        <f t="shared" si="1727"/>
        <v>#NAME?</v>
      </c>
      <c r="AB22" s="14" t="e">
        <f t="shared" si="1728"/>
        <v>#NAME?</v>
      </c>
      <c r="AC22" s="14" t="e">
        <f t="shared" si="1729"/>
        <v>#NAME?</v>
      </c>
      <c r="AD22" s="14" t="e">
        <f t="shared" si="1730"/>
        <v>#NAME?</v>
      </c>
      <c r="AE22" s="14" t="e">
        <v>#NAME?</v>
      </c>
    </row>
    <row r="23">
      <c r="A23">
        <v>1952</v>
      </c>
      <c r="B23">
        <f>'Granger 1'!B23-'Granger 1'!B22</f>
        <v>-4433</v>
      </c>
      <c r="C23">
        <f>'Granger 1'!C23-'Granger 1'!C22</f>
        <v>1</v>
      </c>
      <c r="E23">
        <f t="shared" si="1713"/>
        <v>-6068</v>
      </c>
      <c r="F23">
        <f t="shared" si="1715"/>
        <v>-1380</v>
      </c>
      <c r="G23">
        <f t="shared" si="1717"/>
        <v>-28399</v>
      </c>
      <c r="H23">
        <f t="shared" si="1719"/>
        <v>-4433</v>
      </c>
      <c r="I23">
        <f t="shared" si="1714"/>
        <v>5</v>
      </c>
      <c r="J23">
        <f t="shared" si="1716"/>
        <v>95</v>
      </c>
      <c r="K23">
        <f t="shared" si="1718"/>
        <v>-16</v>
      </c>
      <c r="L23">
        <f t="shared" si="1720"/>
        <v>1</v>
      </c>
      <c r="M23">
        <f t="shared" si="1712"/>
        <v>-7018</v>
      </c>
      <c r="O23" t="str">
        <f/>
        <v>egg-1</v>
      </c>
      <c r="P23" t="e">
        <v>#NAME?</v>
      </c>
      <c r="Q23" t="e">
        <v>#NAME?</v>
      </c>
      <c r="R23" t="e">
        <f t="shared" si="1723"/>
        <v>#NAME?</v>
      </c>
      <c r="S23" t="e">
        <f t="shared" si="1724"/>
        <v>#NAME?</v>
      </c>
      <c r="T23" t="e">
        <f t="shared" si="1725"/>
        <v>#NAME?</v>
      </c>
      <c r="U23" t="e">
        <f t="shared" si="1726"/>
        <v>#NAME?</v>
      </c>
      <c r="V23" t="e">
        <v>#NAME?</v>
      </c>
    </row>
    <row r="24">
      <c r="A24">
        <v>1953</v>
      </c>
      <c r="B24">
        <f>'Granger 1'!B24-'Granger 1'!B23</f>
        <v>-28399</v>
      </c>
      <c r="C24">
        <f>'Granger 1'!C24-'Granger 1'!C23</f>
        <v>-16</v>
      </c>
      <c r="E24">
        <f t="shared" si="1713"/>
        <v>-7018</v>
      </c>
      <c r="F24">
        <f t="shared" si="1715"/>
        <v>-6068</v>
      </c>
      <c r="G24">
        <f t="shared" si="1717"/>
        <v>-1380</v>
      </c>
      <c r="H24">
        <f t="shared" si="1719"/>
        <v>-28399</v>
      </c>
      <c r="I24">
        <f t="shared" si="1714"/>
        <v>93</v>
      </c>
      <c r="J24">
        <f t="shared" si="1716"/>
        <v>5</v>
      </c>
      <c r="K24">
        <f t="shared" si="1718"/>
        <v>95</v>
      </c>
      <c r="L24">
        <f t="shared" si="1720"/>
        <v>-16</v>
      </c>
      <c r="M24">
        <f t="shared" si="1712"/>
        <v>7673</v>
      </c>
      <c r="O24" t="str">
        <f/>
        <v>egg-2</v>
      </c>
      <c r="P24" t="e">
        <v>#NAME?</v>
      </c>
      <c r="Q24" t="e">
        <v>#NAME?</v>
      </c>
      <c r="R24" t="e">
        <f t="shared" si="1723"/>
        <v>#NAME?</v>
      </c>
      <c r="S24" t="e">
        <f t="shared" si="1724"/>
        <v>#NAME?</v>
      </c>
      <c r="T24" t="e">
        <f t="shared" si="1725"/>
        <v>#NAME?</v>
      </c>
      <c r="U24" t="e">
        <f t="shared" si="1726"/>
        <v>#NAME?</v>
      </c>
      <c r="V24" t="e">
        <v>#NAME?</v>
      </c>
    </row>
    <row r="25">
      <c r="A25">
        <v>1954</v>
      </c>
      <c r="B25">
        <f>'Granger 1'!B25-'Granger 1'!B24</f>
        <v>-1380</v>
      </c>
      <c r="C25">
        <f>'Granger 1'!C25-'Granger 1'!C24</f>
        <v>95</v>
      </c>
      <c r="E25">
        <f t="shared" si="1713"/>
        <v>7673</v>
      </c>
      <c r="F25">
        <f t="shared" si="1715"/>
        <v>-7018</v>
      </c>
      <c r="G25">
        <f t="shared" si="1717"/>
        <v>-6068</v>
      </c>
      <c r="H25">
        <f t="shared" si="1719"/>
        <v>-1380</v>
      </c>
      <c r="I25">
        <f t="shared" si="1714"/>
        <v>-58</v>
      </c>
      <c r="J25">
        <f t="shared" si="1716"/>
        <v>93</v>
      </c>
      <c r="K25">
        <f t="shared" si="1718"/>
        <v>5</v>
      </c>
      <c r="L25">
        <f t="shared" si="1720"/>
        <v>95</v>
      </c>
      <c r="M25">
        <f t="shared" si="1712"/>
        <v>-17082</v>
      </c>
      <c r="O25" t="str">
        <f/>
        <v>egg-3</v>
      </c>
      <c r="P25" t="e">
        <v>#NAME?</v>
      </c>
      <c r="Q25" t="e">
        <v>#NAME?</v>
      </c>
      <c r="R25" t="e">
        <f t="shared" si="1723"/>
        <v>#NAME?</v>
      </c>
      <c r="S25" t="e">
        <f t="shared" si="1724"/>
        <v>#NAME?</v>
      </c>
      <c r="T25" t="e">
        <f t="shared" si="1725"/>
        <v>#NAME?</v>
      </c>
      <c r="U25" t="e">
        <f t="shared" si="1726"/>
        <v>#NAME?</v>
      </c>
      <c r="V25" t="e">
        <v>#NAME?</v>
      </c>
    </row>
    <row r="26">
      <c r="A26">
        <v>1955</v>
      </c>
      <c r="B26">
        <f>'Granger 1'!B26-'Granger 1'!B25</f>
        <v>-6068</v>
      </c>
      <c r="C26">
        <f>'Granger 1'!C26-'Granger 1'!C25</f>
        <v>5</v>
      </c>
      <c r="E26">
        <f t="shared" si="1713"/>
        <v>-17082</v>
      </c>
      <c r="F26">
        <f t="shared" si="1715"/>
        <v>7673</v>
      </c>
      <c r="G26">
        <f t="shared" si="1717"/>
        <v>-7018</v>
      </c>
      <c r="H26">
        <f t="shared" si="1719"/>
        <v>-6068</v>
      </c>
      <c r="I26">
        <f t="shared" si="1714"/>
        <v>0</v>
      </c>
      <c r="J26">
        <f t="shared" si="1716"/>
        <v>-58</v>
      </c>
      <c r="K26">
        <f t="shared" si="1718"/>
        <v>93</v>
      </c>
      <c r="L26">
        <f t="shared" si="1720"/>
        <v>5</v>
      </c>
      <c r="M26">
        <f t="shared" si="1712"/>
        <v>12721</v>
      </c>
      <c r="O26" s="14" t="str">
        <f/>
        <v>egg-4</v>
      </c>
      <c r="P26" s="14" t="e">
        <v>#NAME?</v>
      </c>
      <c r="Q26" s="14" t="e">
        <v>#NAME?</v>
      </c>
      <c r="R26" s="14" t="e">
        <f t="shared" si="1723"/>
        <v>#NAME?</v>
      </c>
      <c r="S26" s="14" t="e">
        <f t="shared" si="1724"/>
        <v>#NAME?</v>
      </c>
      <c r="T26" s="14" t="e">
        <f t="shared" si="1725"/>
        <v>#NAME?</v>
      </c>
      <c r="U26" s="14" t="e">
        <f t="shared" si="1726"/>
        <v>#NAME?</v>
      </c>
      <c r="V26" s="14" t="e">
        <v>#NAME?</v>
      </c>
    </row>
    <row r="27">
      <c r="A27">
        <v>1956</v>
      </c>
      <c r="B27">
        <f>'Granger 1'!B27-'Granger 1'!B26</f>
        <v>-7018</v>
      </c>
      <c r="C27">
        <f>'Granger 1'!C27-'Granger 1'!C26</f>
        <v>93</v>
      </c>
      <c r="E27">
        <f t="shared" si="1713"/>
        <v>12721</v>
      </c>
      <c r="F27">
        <f t="shared" si="1715"/>
        <v>-17082</v>
      </c>
      <c r="G27">
        <f t="shared" si="1717"/>
        <v>7673</v>
      </c>
      <c r="H27">
        <f t="shared" si="1719"/>
        <v>-7018</v>
      </c>
      <c r="I27">
        <f t="shared" si="1714"/>
        <v>100</v>
      </c>
      <c r="J27">
        <f t="shared" si="1716"/>
        <v>0</v>
      </c>
      <c r="K27">
        <f t="shared" si="1718"/>
        <v>-58</v>
      </c>
      <c r="L27">
        <f t="shared" si="1720"/>
        <v>93</v>
      </c>
      <c r="M27">
        <f t="shared" si="1712"/>
        <v>-17518</v>
      </c>
    </row>
    <row r="28">
      <c r="A28">
        <v>1957</v>
      </c>
      <c r="B28">
        <f>'Granger 1'!B28-'Granger 1'!B27</f>
        <v>7673</v>
      </c>
      <c r="C28">
        <f>'Granger 1'!C28-'Granger 1'!C27</f>
        <v>-58</v>
      </c>
      <c r="E28">
        <f t="shared" si="1713"/>
        <v>-17518</v>
      </c>
      <c r="F28">
        <f t="shared" si="1715"/>
        <v>12721</v>
      </c>
      <c r="G28">
        <f t="shared" si="1717"/>
        <v>-17082</v>
      </c>
      <c r="H28">
        <f t="shared" si="1719"/>
        <v>7673</v>
      </c>
      <c r="I28">
        <f t="shared" si="1714"/>
        <v>-203</v>
      </c>
      <c r="J28">
        <f t="shared" si="1716"/>
        <v>100</v>
      </c>
      <c r="K28">
        <f t="shared" si="1718"/>
        <v>0</v>
      </c>
      <c r="L28">
        <f t="shared" si="1720"/>
        <v>-58</v>
      </c>
      <c r="M28">
        <f t="shared" si="1712"/>
        <v>-3402</v>
      </c>
    </row>
    <row r="29">
      <c r="A29">
        <v>1958</v>
      </c>
      <c r="B29">
        <f>'Granger 1'!B29-'Granger 1'!B28</f>
        <v>-17082</v>
      </c>
      <c r="C29">
        <f>'Granger 1'!C29-'Granger 1'!C28</f>
        <v>0</v>
      </c>
      <c r="E29">
        <f t="shared" si="1713"/>
        <v>-3402</v>
      </c>
      <c r="F29">
        <f t="shared" si="1715"/>
        <v>-17518</v>
      </c>
      <c r="G29">
        <f t="shared" si="1717"/>
        <v>12721</v>
      </c>
      <c r="H29">
        <f t="shared" si="1719"/>
        <v>-17082</v>
      </c>
      <c r="I29">
        <f t="shared" si="1714"/>
        <v>19</v>
      </c>
      <c r="J29">
        <f t="shared" si="1716"/>
        <v>-203</v>
      </c>
      <c r="K29">
        <f t="shared" si="1718"/>
        <v>100</v>
      </c>
      <c r="L29">
        <f t="shared" si="1720"/>
        <v>0</v>
      </c>
      <c r="M29">
        <f t="shared" si="1712"/>
        <v>11310</v>
      </c>
    </row>
    <row r="30">
      <c r="A30">
        <v>1959</v>
      </c>
      <c r="B30">
        <f>'Granger 1'!B30-'Granger 1'!B29</f>
        <v>12721</v>
      </c>
      <c r="C30">
        <f>'Granger 1'!C30-'Granger 1'!C29</f>
        <v>100</v>
      </c>
      <c r="E30">
        <f t="shared" si="1713"/>
        <v>11310</v>
      </c>
      <c r="F30">
        <f t="shared" si="1715"/>
        <v>-3402</v>
      </c>
      <c r="G30">
        <f t="shared" si="1717"/>
        <v>-17518</v>
      </c>
      <c r="H30">
        <f t="shared" si="1719"/>
        <v>12721</v>
      </c>
      <c r="I30">
        <f t="shared" si="1714"/>
        <v>45</v>
      </c>
      <c r="J30">
        <f t="shared" si="1716"/>
        <v>19</v>
      </c>
      <c r="K30">
        <f t="shared" si="1718"/>
        <v>-203</v>
      </c>
      <c r="L30">
        <f t="shared" si="1720"/>
        <v>100</v>
      </c>
      <c r="M30">
        <f t="shared" si="1712"/>
        <v>-1817</v>
      </c>
    </row>
    <row r="31">
      <c r="A31">
        <v>1960</v>
      </c>
      <c r="B31">
        <f>'Granger 1'!B31-'Granger 1'!B30</f>
        <v>-17518</v>
      </c>
      <c r="C31">
        <f>'Granger 1'!C31-'Granger 1'!C30</f>
        <v>-203</v>
      </c>
      <c r="E31">
        <f t="shared" si="1713"/>
        <v>-1817</v>
      </c>
      <c r="F31">
        <f t="shared" si="1715"/>
        <v>11310</v>
      </c>
      <c r="G31">
        <f t="shared" si="1717"/>
        <v>-3402</v>
      </c>
      <c r="H31">
        <f t="shared" si="1719"/>
        <v>-17518</v>
      </c>
      <c r="I31">
        <f t="shared" si="1714"/>
        <v>-58</v>
      </c>
      <c r="J31">
        <f t="shared" si="1716"/>
        <v>45</v>
      </c>
      <c r="K31">
        <f t="shared" si="1718"/>
        <v>19</v>
      </c>
      <c r="L31">
        <f t="shared" si="1720"/>
        <v>-203</v>
      </c>
      <c r="M31">
        <f t="shared" si="1712"/>
        <v>6687</v>
      </c>
    </row>
    <row r="32">
      <c r="A32">
        <v>1961</v>
      </c>
      <c r="B32">
        <f>'Granger 1'!B32-'Granger 1'!B31</f>
        <v>-3402</v>
      </c>
      <c r="C32">
        <f>'Granger 1'!C32-'Granger 1'!C31</f>
        <v>19</v>
      </c>
      <c r="E32">
        <f t="shared" si="1713"/>
        <v>6687</v>
      </c>
      <c r="F32">
        <f t="shared" si="1715"/>
        <v>-1817</v>
      </c>
      <c r="G32">
        <f t="shared" si="1717"/>
        <v>11310</v>
      </c>
      <c r="H32">
        <f t="shared" si="1719"/>
        <v>-3402</v>
      </c>
      <c r="I32">
        <f t="shared" si="1714"/>
        <v>90</v>
      </c>
      <c r="J32">
        <f t="shared" si="1716"/>
        <v>-58</v>
      </c>
      <c r="K32">
        <f t="shared" si="1718"/>
        <v>45</v>
      </c>
      <c r="L32">
        <f t="shared" si="1720"/>
        <v>19</v>
      </c>
      <c r="M32">
        <f t="shared" si="1712"/>
        <v>11856</v>
      </c>
    </row>
    <row r="33">
      <c r="A33">
        <v>1962</v>
      </c>
      <c r="B33">
        <f>'Granger 1'!B33-'Granger 1'!B32</f>
        <v>11310</v>
      </c>
      <c r="C33">
        <f>'Granger 1'!C33-'Granger 1'!C32</f>
        <v>45</v>
      </c>
      <c r="E33">
        <f t="shared" si="1713"/>
        <v>11856</v>
      </c>
      <c r="F33">
        <f t="shared" si="1715"/>
        <v>6687</v>
      </c>
      <c r="G33">
        <f t="shared" si="1717"/>
        <v>-1817</v>
      </c>
      <c r="H33">
        <f t="shared" si="1719"/>
        <v>11310</v>
      </c>
      <c r="I33">
        <f t="shared" si="1714"/>
        <v>39</v>
      </c>
      <c r="J33">
        <f t="shared" si="1716"/>
        <v>90</v>
      </c>
      <c r="K33">
        <f t="shared" si="1718"/>
        <v>-58</v>
      </c>
      <c r="L33">
        <f t="shared" si="1720"/>
        <v>45</v>
      </c>
      <c r="M33">
        <f t="shared" si="1712"/>
        <v>-1099</v>
      </c>
    </row>
    <row r="34">
      <c r="A34">
        <v>1963</v>
      </c>
      <c r="B34">
        <f>'Granger 1'!B34-'Granger 1'!B33</f>
        <v>-1817</v>
      </c>
      <c r="C34">
        <f>'Granger 1'!C34-'Granger 1'!C33</f>
        <v>-58</v>
      </c>
      <c r="E34">
        <f t="shared" si="1713"/>
        <v>-1099</v>
      </c>
      <c r="F34">
        <f t="shared" si="1715"/>
        <v>11856</v>
      </c>
      <c r="G34">
        <f t="shared" si="1717"/>
        <v>6687</v>
      </c>
      <c r="H34">
        <f t="shared" si="1719"/>
        <v>-1817</v>
      </c>
      <c r="I34">
        <f t="shared" si="1714"/>
        <v>66</v>
      </c>
      <c r="J34">
        <f t="shared" si="1716"/>
        <v>39</v>
      </c>
      <c r="K34">
        <f t="shared" si="1718"/>
        <v>90</v>
      </c>
      <c r="L34">
        <f t="shared" si="1720"/>
        <v>-58</v>
      </c>
      <c r="M34">
        <f t="shared" si="1712"/>
        <v>35727</v>
      </c>
    </row>
    <row r="35">
      <c r="A35">
        <v>1964</v>
      </c>
      <c r="B35">
        <f>'Granger 1'!B35-'Granger 1'!B34</f>
        <v>6687</v>
      </c>
      <c r="C35">
        <f>'Granger 1'!C35-'Granger 1'!C34</f>
        <v>90</v>
      </c>
      <c r="E35">
        <f t="shared" si="1713"/>
        <v>35727</v>
      </c>
      <c r="F35">
        <f t="shared" si="1715"/>
        <v>-1099</v>
      </c>
      <c r="G35">
        <f t="shared" si="1717"/>
        <v>11856</v>
      </c>
      <c r="H35">
        <f t="shared" si="1719"/>
        <v>6687</v>
      </c>
      <c r="I35">
        <f t="shared" si="1714"/>
        <v>296</v>
      </c>
      <c r="J35">
        <f t="shared" si="1716"/>
        <v>66</v>
      </c>
      <c r="K35">
        <f t="shared" si="1718"/>
        <v>39</v>
      </c>
      <c r="L35">
        <f t="shared" si="1720"/>
        <v>90</v>
      </c>
      <c r="M35">
        <f t="shared" si="1712"/>
        <v>-3588</v>
      </c>
    </row>
    <row r="36">
      <c r="A36">
        <v>1965</v>
      </c>
      <c r="B36">
        <f>'Granger 1'!B36-'Granger 1'!B35</f>
        <v>11856</v>
      </c>
      <c r="C36">
        <f>'Granger 1'!C36-'Granger 1'!C35</f>
        <v>39</v>
      </c>
      <c r="E36">
        <f t="shared" si="1713"/>
        <v>-3588</v>
      </c>
      <c r="F36">
        <f t="shared" si="1715"/>
        <v>35727</v>
      </c>
      <c r="G36">
        <f t="shared" si="1717"/>
        <v>-1099</v>
      </c>
      <c r="H36">
        <f t="shared" si="1719"/>
        <v>11856</v>
      </c>
      <c r="I36">
        <f t="shared" si="1714"/>
        <v>-59</v>
      </c>
      <c r="J36">
        <f t="shared" si="1716"/>
        <v>296</v>
      </c>
      <c r="K36">
        <f t="shared" si="1718"/>
        <v>66</v>
      </c>
      <c r="L36">
        <f t="shared" si="1720"/>
        <v>39</v>
      </c>
      <c r="M36">
        <f t="shared" si="1712"/>
        <v>-3062</v>
      </c>
    </row>
    <row r="37">
      <c r="A37">
        <v>1966</v>
      </c>
      <c r="B37">
        <f>'Granger 1'!B37-'Granger 1'!B36</f>
        <v>-1099</v>
      </c>
      <c r="C37">
        <f>'Granger 1'!C37-'Granger 1'!C36</f>
        <v>66</v>
      </c>
      <c r="E37" s="14">
        <f t="shared" si="1713"/>
        <v>-3062</v>
      </c>
      <c r="F37" s="14">
        <f t="shared" si="1715"/>
        <v>-3588</v>
      </c>
      <c r="G37" s="14">
        <f t="shared" si="1717"/>
        <v>35727</v>
      </c>
      <c r="H37" s="14">
        <f t="shared" si="1719"/>
        <v>-1099</v>
      </c>
      <c r="I37" s="14">
        <f t="shared" si="1714"/>
        <v>-148</v>
      </c>
      <c r="J37" s="14">
        <f t="shared" si="1716"/>
        <v>-59</v>
      </c>
      <c r="K37" s="14">
        <f t="shared" si="1718"/>
        <v>296</v>
      </c>
      <c r="L37" s="14">
        <f t="shared" si="1720"/>
        <v>66</v>
      </c>
      <c r="M37" s="14">
        <f t="shared" si="1712"/>
        <v>11184</v>
      </c>
    </row>
    <row r="38">
      <c r="A38">
        <v>1967</v>
      </c>
      <c r="B38">
        <f>'Granger 1'!B38-'Granger 1'!B37</f>
        <v>35727</v>
      </c>
      <c r="C38">
        <f>'Granger 1'!C38-'Granger 1'!C37</f>
        <v>296</v>
      </c>
    </row>
    <row r="39">
      <c r="A39">
        <v>1968</v>
      </c>
      <c r="B39">
        <f>'Granger 1'!B39-'Granger 1'!B38</f>
        <v>-3588</v>
      </c>
      <c r="C39">
        <f>'Granger 1'!C39-'Granger 1'!C38</f>
        <v>-59</v>
      </c>
    </row>
    <row r="40">
      <c r="A40">
        <v>1969</v>
      </c>
      <c r="B40">
        <f>'Granger 1'!B40-'Granger 1'!B39</f>
        <v>-3062</v>
      </c>
      <c r="C40">
        <f>'Granger 1'!C40-'Granger 1'!C39</f>
        <v>-148</v>
      </c>
    </row>
    <row r="41">
      <c r="A41">
        <v>1970</v>
      </c>
      <c r="B41">
        <f>'Granger 1'!B41-'Granger 1'!B40</f>
        <v>11184</v>
      </c>
      <c r="C41">
        <f>'Granger 1'!C41-'Granger 1'!C40</f>
        <v>75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9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Q1" zoomScale="100" workbookViewId="0">
      <selection activeCell="AG19" activeCellId="0" sqref="AG19"/>
    </sheetView>
  </sheetViews>
  <sheetFormatPr defaultRowHeight="14.25"/>
  <cols>
    <col customWidth="1" min="5" max="13" width="7.4553570000000002"/>
    <col customWidth="1" min="15" max="15" width="16.723213999999999"/>
    <col customWidth="1" min="24" max="24" width="17"/>
  </cols>
  <sheetData>
    <row r="1">
      <c r="A1" s="17" t="s">
        <v>616</v>
      </c>
      <c r="B1" s="17" t="s">
        <v>617</v>
      </c>
      <c r="C1" s="17" t="s">
        <v>618</v>
      </c>
    </row>
    <row r="2">
      <c r="A2">
        <v>1931</v>
      </c>
      <c r="E2" s="29" t="s">
        <v>621</v>
      </c>
      <c r="F2" s="29" t="s">
        <v>622</v>
      </c>
      <c r="G2" s="29" t="s">
        <v>623</v>
      </c>
      <c r="H2" s="29" t="s">
        <v>624</v>
      </c>
      <c r="I2" s="29" t="s">
        <v>625</v>
      </c>
      <c r="J2" s="29" t="s">
        <v>626</v>
      </c>
      <c r="K2" s="29" t="s">
        <v>627</v>
      </c>
      <c r="L2" s="29" t="s">
        <v>628</v>
      </c>
      <c r="M2" s="29" t="s">
        <v>618</v>
      </c>
      <c r="O2" t="s">
        <v>369</v>
      </c>
      <c r="Q2" s="15" t="s">
        <v>630</v>
      </c>
      <c r="X2" t="s">
        <v>369</v>
      </c>
      <c r="Z2" s="15" t="s">
        <v>631</v>
      </c>
      <c r="AH2" s="15" t="s">
        <v>630</v>
      </c>
      <c r="AI2" s="15" t="s">
        <v>631</v>
      </c>
    </row>
    <row r="3">
      <c r="A3">
        <v>1932</v>
      </c>
      <c r="B3">
        <f>'Granger 1'!B3-'Granger 1'!B2</f>
        <v>-12928</v>
      </c>
      <c r="C3">
        <f>'Granger 1'!C3-'Granger 1'!C2</f>
        <v>-205</v>
      </c>
      <c r="E3">
        <f t="shared" ref="E3:E6" si="1731">B6</f>
        <v>-43979</v>
      </c>
      <c r="F3">
        <f t="shared" ref="F3:F7" si="1732">B5</f>
        <v>-10586</v>
      </c>
      <c r="G3">
        <f t="shared" ref="G3:G8" si="1733">B4</f>
        <v>7708</v>
      </c>
      <c r="H3">
        <f t="shared" ref="H3:H9" si="1734">B3</f>
        <v>-12928</v>
      </c>
      <c r="I3">
        <f t="shared" ref="I3:I6" si="1735">C6</f>
        <v>-75</v>
      </c>
      <c r="J3">
        <f t="shared" ref="J3:J7" si="1736">C5</f>
        <v>-99</v>
      </c>
      <c r="K3">
        <f t="shared" ref="K3:K8" si="1737">C4</f>
        <v>-72</v>
      </c>
      <c r="L3">
        <f t="shared" ref="L3:L9" si="1738">C3</f>
        <v>-205</v>
      </c>
      <c r="M3">
        <f t="shared" ref="M3:M5" si="1739">C7</f>
        <v>85</v>
      </c>
      <c r="AG3" t="s">
        <v>632</v>
      </c>
      <c r="AH3" s="5" t="e">
        <f>P6</f>
        <v>#NAME?</v>
      </c>
      <c r="AI3" s="6" t="e">
        <f>Y6</f>
        <v>#NAME?</v>
      </c>
    </row>
    <row r="4">
      <c r="A4">
        <v>1933</v>
      </c>
      <c r="B4">
        <f>'Granger 1'!B4-'Granger 1'!B3</f>
        <v>7708</v>
      </c>
      <c r="C4">
        <f>'Granger 1'!C4-'Granger 1'!C3</f>
        <v>-72</v>
      </c>
      <c r="E4">
        <f t="shared" si="1731"/>
        <v>13488</v>
      </c>
      <c r="F4">
        <f t="shared" si="1732"/>
        <v>-43979</v>
      </c>
      <c r="G4">
        <f t="shared" si="1733"/>
        <v>-10586</v>
      </c>
      <c r="H4">
        <f t="shared" si="1734"/>
        <v>7708</v>
      </c>
      <c r="I4">
        <f t="shared" si="1735"/>
        <v>85</v>
      </c>
      <c r="J4">
        <f t="shared" si="1736"/>
        <v>-75</v>
      </c>
      <c r="K4">
        <f t="shared" si="1737"/>
        <v>-99</v>
      </c>
      <c r="L4">
        <f t="shared" si="1738"/>
        <v>-72</v>
      </c>
      <c r="M4">
        <f t="shared" si="1739"/>
        <v>277</v>
      </c>
      <c r="O4" s="49" t="s">
        <v>371</v>
      </c>
      <c r="P4" s="49"/>
      <c r="R4" s="49"/>
      <c r="S4" s="49"/>
      <c r="X4" s="49" t="s">
        <v>371</v>
      </c>
      <c r="Y4" s="49"/>
      <c r="AA4" s="49"/>
      <c r="AB4" s="49"/>
      <c r="AG4" t="s">
        <v>636</v>
      </c>
      <c r="AH4" s="8">
        <f>P14</f>
        <v>26</v>
      </c>
      <c r="AI4" s="9"/>
    </row>
    <row r="5">
      <c r="A5">
        <v>1934</v>
      </c>
      <c r="B5">
        <f>'Granger 1'!B5-'Granger 1'!B4</f>
        <v>-10586</v>
      </c>
      <c r="C5">
        <f>'Granger 1'!C5-'Granger 1'!C4</f>
        <v>-99</v>
      </c>
      <c r="E5">
        <f t="shared" si="1731"/>
        <v>20475</v>
      </c>
      <c r="F5">
        <f t="shared" si="1732"/>
        <v>13488</v>
      </c>
      <c r="G5">
        <f t="shared" si="1733"/>
        <v>-43979</v>
      </c>
      <c r="H5">
        <f t="shared" si="1734"/>
        <v>-10586</v>
      </c>
      <c r="I5">
        <f t="shared" si="1735"/>
        <v>277</v>
      </c>
      <c r="J5">
        <f t="shared" si="1736"/>
        <v>85</v>
      </c>
      <c r="K5">
        <f t="shared" si="1737"/>
        <v>-75</v>
      </c>
      <c r="L5">
        <f t="shared" si="1738"/>
        <v>-99</v>
      </c>
      <c r="M5">
        <f t="shared" si="1739"/>
        <v>-19</v>
      </c>
      <c r="O5" t="s">
        <v>373</v>
      </c>
      <c r="P5" t="e">
        <f>SQRT(P6)</f>
        <v>#NAME?</v>
      </c>
      <c r="R5" t="s">
        <v>374</v>
      </c>
      <c r="S5" t="e">
        <f>P9*LN(Q14/P9)+2*(P13+1)</f>
        <v>#NAME?</v>
      </c>
      <c r="X5" t="s">
        <v>373</v>
      </c>
      <c r="Y5" t="e">
        <f>SQRT(Y6)</f>
        <v>#NAME?</v>
      </c>
      <c r="AA5" t="s">
        <v>374</v>
      </c>
      <c r="AB5" t="e">
        <f>Y9*LN(Z14/Y9)+2*(Y13+1)</f>
        <v>#NAME?</v>
      </c>
      <c r="AG5" t="s">
        <v>638</v>
      </c>
      <c r="AH5" s="11"/>
      <c r="AI5" s="12">
        <f>Y13</f>
        <v>4</v>
      </c>
    </row>
    <row r="6">
      <c r="A6">
        <v>1935</v>
      </c>
      <c r="B6">
        <f>'Granger 1'!B6-'Granger 1'!B5</f>
        <v>-43979</v>
      </c>
      <c r="C6">
        <f>'Granger 1'!C6-'Granger 1'!C5</f>
        <v>-75</v>
      </c>
      <c r="E6">
        <f t="shared" si="1731"/>
        <v>-34297</v>
      </c>
      <c r="F6">
        <f t="shared" si="1732"/>
        <v>20475</v>
      </c>
      <c r="G6">
        <f t="shared" si="1733"/>
        <v>13488</v>
      </c>
      <c r="H6">
        <f t="shared" si="1734"/>
        <v>-43979</v>
      </c>
      <c r="I6">
        <f t="shared" si="1735"/>
        <v>-19</v>
      </c>
      <c r="J6">
        <f t="shared" si="1736"/>
        <v>277</v>
      </c>
      <c r="K6">
        <f t="shared" si="1737"/>
        <v>85</v>
      </c>
      <c r="L6">
        <f t="shared" si="1738"/>
        <v>-75</v>
      </c>
      <c r="M6">
        <f t="shared" ref="M6:M37" si="1740">C10</f>
        <v>137</v>
      </c>
      <c r="O6" t="s">
        <v>375</v>
      </c>
      <c r="P6" t="e">
        <f>Q13/Q15</f>
        <v>#NAME?</v>
      </c>
      <c r="R6" t="s">
        <v>376</v>
      </c>
      <c r="S6" t="e">
        <f>S5+2*(P13+2)*(P13+3)/(P9-P13-3)</f>
        <v>#NAME?</v>
      </c>
      <c r="X6" t="s">
        <v>375</v>
      </c>
      <c r="Y6" t="e">
        <f>Z13/Z15</f>
        <v>#NAME?</v>
      </c>
      <c r="AA6" t="s">
        <v>376</v>
      </c>
      <c r="AB6" t="e">
        <f>AB5+2*(Y13+2)*(Y13+3)/(Y9-Y13-3)</f>
        <v>#NAME?</v>
      </c>
    </row>
    <row r="7">
      <c r="A7">
        <v>1936</v>
      </c>
      <c r="B7">
        <f>'Granger 1'!B7-'Granger 1'!B6</f>
        <v>13488</v>
      </c>
      <c r="C7">
        <f>'Granger 1'!C7-'Granger 1'!C6</f>
        <v>85</v>
      </c>
      <c r="E7">
        <f t="shared" ref="E7:E37" si="1741">B10</f>
        <v>28967</v>
      </c>
      <c r="F7">
        <f t="shared" si="1732"/>
        <v>-34297</v>
      </c>
      <c r="G7">
        <f t="shared" si="1733"/>
        <v>20475</v>
      </c>
      <c r="H7">
        <f t="shared" si="1734"/>
        <v>13488</v>
      </c>
      <c r="I7">
        <f t="shared" ref="I7:I37" si="1742">C10</f>
        <v>137</v>
      </c>
      <c r="J7">
        <f t="shared" si="1736"/>
        <v>-19</v>
      </c>
      <c r="K7">
        <f t="shared" si="1737"/>
        <v>277</v>
      </c>
      <c r="L7">
        <f t="shared" si="1738"/>
        <v>85</v>
      </c>
      <c r="M7">
        <f t="shared" si="1740"/>
        <v>79</v>
      </c>
      <c r="O7" t="s">
        <v>378</v>
      </c>
      <c r="P7" t="e">
        <f>1-(1-P6)*(P9-1)/(P9-P13-1)</f>
        <v>#NAME?</v>
      </c>
      <c r="R7" s="14" t="s">
        <v>395</v>
      </c>
      <c r="S7" s="14" t="e">
        <f>P9*LN(Q14/P9)+(P13+1)*LN(P9)</f>
        <v>#NAME?</v>
      </c>
      <c r="X7" t="s">
        <v>378</v>
      </c>
      <c r="Y7" t="e">
        <f>1-(1-Y6)*(Y9-1)/(Y9-Y13-1)</f>
        <v>#NAME?</v>
      </c>
      <c r="AA7" s="14" t="s">
        <v>395</v>
      </c>
      <c r="AB7" s="14" t="e">
        <f>Y9*LN(Z14/Y9)+(Y13+1)*LN(Y9)</f>
        <v>#NAME?</v>
      </c>
      <c r="AG7" t="s">
        <v>388</v>
      </c>
      <c r="AH7" s="7" t="e">
        <f>(AH3-AI3)*AH4/(1-AH3)/AI5</f>
        <v>#NAME?</v>
      </c>
    </row>
    <row r="8">
      <c r="A8">
        <v>1937</v>
      </c>
      <c r="B8">
        <f>'Granger 1'!B8-'Granger 1'!B7</f>
        <v>20475</v>
      </c>
      <c r="C8">
        <f>'Granger 1'!C8-'Granger 1'!C7</f>
        <v>277</v>
      </c>
      <c r="E8">
        <f t="shared" si="1741"/>
        <v>19697</v>
      </c>
      <c r="F8">
        <f t="shared" ref="F8:F37" si="1743">B10</f>
        <v>28967</v>
      </c>
      <c r="G8">
        <f t="shared" si="1733"/>
        <v>-34297</v>
      </c>
      <c r="H8">
        <f t="shared" si="1734"/>
        <v>20475</v>
      </c>
      <c r="I8">
        <f t="shared" si="1742"/>
        <v>79</v>
      </c>
      <c r="J8">
        <f t="shared" ref="J8:J37" si="1744">C10</f>
        <v>137</v>
      </c>
      <c r="K8">
        <f t="shared" si="1737"/>
        <v>-19</v>
      </c>
      <c r="L8">
        <f t="shared" si="1738"/>
        <v>277</v>
      </c>
      <c r="M8">
        <f t="shared" si="1740"/>
        <v>200</v>
      </c>
      <c r="O8" t="s">
        <v>381</v>
      </c>
      <c r="P8" t="e">
        <f>SQRT(R14)</f>
        <v>#NAME?</v>
      </c>
      <c r="X8" t="s">
        <v>381</v>
      </c>
      <c r="Y8" t="e">
        <f>SQRT(AA14)</f>
        <v>#NAME?</v>
      </c>
      <c r="AG8" t="s">
        <v>189</v>
      </c>
      <c r="AH8" s="13" t="e">
        <f>FDIST(AH7,AI5,AH4)</f>
        <v>#NAME?</v>
      </c>
    </row>
    <row r="9">
      <c r="A9">
        <v>1938</v>
      </c>
      <c r="B9">
        <f>'Granger 1'!B9-'Granger 1'!B8</f>
        <v>-34297</v>
      </c>
      <c r="C9">
        <f>'Granger 1'!C9-'Granger 1'!C8</f>
        <v>-19</v>
      </c>
      <c r="E9">
        <f t="shared" si="1741"/>
        <v>-15447</v>
      </c>
      <c r="F9">
        <f t="shared" si="1743"/>
        <v>19697</v>
      </c>
      <c r="G9">
        <f t="shared" ref="G9:G37" si="1745">B10</f>
        <v>28967</v>
      </c>
      <c r="H9">
        <f t="shared" si="1734"/>
        <v>-34297</v>
      </c>
      <c r="I9">
        <f t="shared" si="1742"/>
        <v>200</v>
      </c>
      <c r="J9">
        <f t="shared" si="1744"/>
        <v>79</v>
      </c>
      <c r="K9">
        <f t="shared" ref="K9:K37" si="1746">C10</f>
        <v>137</v>
      </c>
      <c r="L9">
        <f t="shared" si="1738"/>
        <v>-19</v>
      </c>
      <c r="M9">
        <f t="shared" si="1740"/>
        <v>616</v>
      </c>
      <c r="O9" s="14" t="s">
        <v>383</v>
      </c>
      <c r="P9" s="14">
        <f>COUNT(M3:M37)</f>
        <v>35</v>
      </c>
      <c r="X9" s="14" t="s">
        <v>383</v>
      </c>
      <c r="Y9" s="14">
        <f>COUNT(M3:M37)</f>
        <v>35</v>
      </c>
    </row>
    <row r="10">
      <c r="A10">
        <v>1939</v>
      </c>
      <c r="B10">
        <f>'Granger 1'!B10-'Granger 1'!B9</f>
        <v>28967</v>
      </c>
      <c r="C10">
        <f>'Granger 1'!C10-'Granger 1'!C9</f>
        <v>137</v>
      </c>
      <c r="E10">
        <f t="shared" si="1741"/>
        <v>54094</v>
      </c>
      <c r="F10">
        <f t="shared" si="1743"/>
        <v>-15447</v>
      </c>
      <c r="G10">
        <f t="shared" si="1745"/>
        <v>19697</v>
      </c>
      <c r="H10">
        <f t="shared" ref="H10:H37" si="1747">B10</f>
        <v>28967</v>
      </c>
      <c r="I10">
        <f t="shared" si="1742"/>
        <v>616</v>
      </c>
      <c r="J10">
        <f t="shared" si="1744"/>
        <v>200</v>
      </c>
      <c r="K10">
        <f t="shared" si="1746"/>
        <v>79</v>
      </c>
      <c r="L10">
        <f t="shared" ref="L10:L37" si="1748">C10</f>
        <v>137</v>
      </c>
      <c r="M10">
        <f t="shared" si="1740"/>
        <v>544</v>
      </c>
      <c r="AG10" t="s">
        <v>189</v>
      </c>
      <c r="AH10" s="18" t="e">
        <v>#NAME?</v>
      </c>
    </row>
    <row r="11">
      <c r="A11">
        <v>1940</v>
      </c>
      <c r="B11">
        <f>'Granger 1'!B11-'Granger 1'!B10</f>
        <v>19697</v>
      </c>
      <c r="C11">
        <f>'Granger 1'!C11-'Granger 1'!C10</f>
        <v>79</v>
      </c>
      <c r="E11">
        <f t="shared" si="1741"/>
        <v>65112</v>
      </c>
      <c r="F11">
        <f t="shared" si="1743"/>
        <v>54094</v>
      </c>
      <c r="G11">
        <f t="shared" si="1745"/>
        <v>-15447</v>
      </c>
      <c r="H11">
        <f t="shared" si="1747"/>
        <v>19697</v>
      </c>
      <c r="I11">
        <f t="shared" si="1742"/>
        <v>544</v>
      </c>
      <c r="J11">
        <f t="shared" si="1744"/>
        <v>616</v>
      </c>
      <c r="K11">
        <f t="shared" si="1746"/>
        <v>200</v>
      </c>
      <c r="L11">
        <f t="shared" si="1748"/>
        <v>79</v>
      </c>
      <c r="M11">
        <f t="shared" si="1740"/>
        <v>366</v>
      </c>
      <c r="O11" t="s">
        <v>384</v>
      </c>
      <c r="S11" s="15" t="s">
        <v>385</v>
      </c>
      <c r="T11" s="15">
        <v>5.0000000000000003e-02</v>
      </c>
      <c r="X11" t="s">
        <v>384</v>
      </c>
      <c r="AB11" s="15" t="s">
        <v>385</v>
      </c>
      <c r="AC11" s="15">
        <v>5.0000000000000003e-02</v>
      </c>
    </row>
    <row r="12">
      <c r="A12">
        <v>1941</v>
      </c>
      <c r="B12">
        <f>'Granger 1'!B12-'Granger 1'!B11</f>
        <v>-15447</v>
      </c>
      <c r="C12">
        <f>'Granger 1'!C12-'Granger 1'!C11</f>
        <v>200</v>
      </c>
      <c r="E12">
        <f t="shared" si="1741"/>
        <v>40150</v>
      </c>
      <c r="F12">
        <f t="shared" si="1743"/>
        <v>65112</v>
      </c>
      <c r="G12">
        <f t="shared" si="1745"/>
        <v>54094</v>
      </c>
      <c r="H12">
        <f t="shared" si="1747"/>
        <v>-15447</v>
      </c>
      <c r="I12">
        <f t="shared" si="1742"/>
        <v>366</v>
      </c>
      <c r="J12">
        <f t="shared" si="1744"/>
        <v>544</v>
      </c>
      <c r="K12">
        <f t="shared" si="1746"/>
        <v>616</v>
      </c>
      <c r="L12">
        <f t="shared" si="1748"/>
        <v>200</v>
      </c>
      <c r="M12">
        <f t="shared" si="1740"/>
        <v>-212</v>
      </c>
      <c r="O12" s="24"/>
      <c r="P12" s="24" t="s">
        <v>294</v>
      </c>
      <c r="Q12" s="24" t="s">
        <v>386</v>
      </c>
      <c r="R12" s="24" t="s">
        <v>387</v>
      </c>
      <c r="S12" s="24" t="s">
        <v>388</v>
      </c>
      <c r="T12" s="24" t="s">
        <v>189</v>
      </c>
      <c r="U12" s="24" t="s">
        <v>204</v>
      </c>
      <c r="X12" s="24"/>
      <c r="Y12" s="24" t="s">
        <v>294</v>
      </c>
      <c r="Z12" s="24" t="s">
        <v>386</v>
      </c>
      <c r="AA12" s="24" t="s">
        <v>387</v>
      </c>
      <c r="AB12" s="24" t="s">
        <v>388</v>
      </c>
      <c r="AC12" s="24" t="s">
        <v>189</v>
      </c>
      <c r="AD12" s="24" t="s">
        <v>204</v>
      </c>
      <c r="AG12" t="s">
        <v>388</v>
      </c>
      <c r="AH12" s="7" t="e">
        <v>#NAME?</v>
      </c>
    </row>
    <row r="13">
      <c r="A13">
        <v>1942</v>
      </c>
      <c r="B13">
        <f>'Granger 1'!B13-'Granger 1'!B12</f>
        <v>54094</v>
      </c>
      <c r="C13">
        <f>'Granger 1'!C13-'Granger 1'!C12</f>
        <v>616</v>
      </c>
      <c r="E13">
        <f t="shared" si="1741"/>
        <v>-65700</v>
      </c>
      <c r="F13">
        <f t="shared" si="1743"/>
        <v>40150</v>
      </c>
      <c r="G13">
        <f t="shared" si="1745"/>
        <v>65112</v>
      </c>
      <c r="H13">
        <f t="shared" si="1747"/>
        <v>54094</v>
      </c>
      <c r="I13">
        <f t="shared" si="1742"/>
        <v>-212</v>
      </c>
      <c r="J13">
        <f t="shared" si="1744"/>
        <v>366</v>
      </c>
      <c r="K13">
        <f t="shared" si="1746"/>
        <v>544</v>
      </c>
      <c r="L13">
        <f t="shared" si="1748"/>
        <v>616</v>
      </c>
      <c r="M13">
        <f t="shared" si="1740"/>
        <v>-24</v>
      </c>
      <c r="O13" t="s">
        <v>389</v>
      </c>
      <c r="P13">
        <f>COUNT(E3:L3)</f>
        <v>8</v>
      </c>
      <c r="Q13" t="e">
        <v>#NAME?</v>
      </c>
      <c r="R13" t="e">
        <f t="shared" ref="R13:R14" si="1749">Q13/P13</f>
        <v>#NAME?</v>
      </c>
      <c r="S13" t="e">
        <f>R13/R14</f>
        <v>#NAME?</v>
      </c>
      <c r="T13" t="e">
        <f>_xlfn.F.DIST.RT(S13,P13,P14)</f>
        <v>#NAME?</v>
      </c>
      <c r="U13" s="15" t="e">
        <f>IF(T13&lt;T11,"yes","no")</f>
        <v>#NAME?</v>
      </c>
      <c r="X13" t="s">
        <v>389</v>
      </c>
      <c r="Y13">
        <f>COUNT(I3:L3)</f>
        <v>4</v>
      </c>
      <c r="Z13" t="e">
        <v>#NAME?</v>
      </c>
      <c r="AA13" t="e">
        <f t="shared" ref="AA13:AA14" si="1750">Z13/Y13</f>
        <v>#NAME?</v>
      </c>
      <c r="AB13" t="e">
        <f>AA13/AA14</f>
        <v>#NAME?</v>
      </c>
      <c r="AC13" t="e">
        <f>_xlfn.F.DIST.RT(AB13,Y13,Y14)</f>
        <v>#NAME?</v>
      </c>
      <c r="AD13" s="15" t="e">
        <f>IF(AC13&lt;AC11,"yes","no")</f>
        <v>#NAME?</v>
      </c>
      <c r="AG13" t="s">
        <v>189</v>
      </c>
      <c r="AH13" s="13" t="e">
        <v>#NAME?</v>
      </c>
    </row>
    <row r="14">
      <c r="A14">
        <v>1943</v>
      </c>
      <c r="B14">
        <f>'Granger 1'!B14-'Granger 1'!B13</f>
        <v>65112</v>
      </c>
      <c r="C14">
        <f>'Granger 1'!C14-'Granger 1'!C13</f>
        <v>544</v>
      </c>
      <c r="E14">
        <f t="shared" si="1741"/>
        <v>6730</v>
      </c>
      <c r="F14">
        <f t="shared" si="1743"/>
        <v>-65700</v>
      </c>
      <c r="G14">
        <f t="shared" si="1745"/>
        <v>40150</v>
      </c>
      <c r="H14">
        <f t="shared" si="1747"/>
        <v>65112</v>
      </c>
      <c r="I14">
        <f t="shared" si="1742"/>
        <v>-24</v>
      </c>
      <c r="J14">
        <f t="shared" si="1744"/>
        <v>-212</v>
      </c>
      <c r="K14">
        <f t="shared" si="1746"/>
        <v>366</v>
      </c>
      <c r="L14">
        <f t="shared" si="1748"/>
        <v>544</v>
      </c>
      <c r="M14">
        <f t="shared" si="1740"/>
        <v>-53</v>
      </c>
      <c r="O14" t="s">
        <v>342</v>
      </c>
      <c r="P14">
        <f>P15-P13</f>
        <v>26</v>
      </c>
      <c r="Q14" t="e">
        <f>Q15-Q13</f>
        <v>#NAME?</v>
      </c>
      <c r="R14" t="e">
        <f t="shared" si="1749"/>
        <v>#NAME?</v>
      </c>
      <c r="X14" t="s">
        <v>342</v>
      </c>
      <c r="Y14">
        <f>Y15-Y13</f>
        <v>30</v>
      </c>
      <c r="Z14" t="e">
        <f>Z15-Z13</f>
        <v>#NAME?</v>
      </c>
      <c r="AA14" t="e">
        <f t="shared" si="1750"/>
        <v>#NAME?</v>
      </c>
    </row>
    <row r="15">
      <c r="A15">
        <v>1944</v>
      </c>
      <c r="B15">
        <f>'Granger 1'!B15-'Granger 1'!B14</f>
        <v>40150</v>
      </c>
      <c r="C15">
        <f>'Granger 1'!C15-'Granger 1'!C14</f>
        <v>366</v>
      </c>
      <c r="E15">
        <f t="shared" si="1741"/>
        <v>-56010</v>
      </c>
      <c r="F15">
        <f t="shared" si="1743"/>
        <v>6730</v>
      </c>
      <c r="G15">
        <f t="shared" si="1745"/>
        <v>-65700</v>
      </c>
      <c r="H15">
        <f t="shared" si="1747"/>
        <v>40150</v>
      </c>
      <c r="I15">
        <f t="shared" si="1742"/>
        <v>-53</v>
      </c>
      <c r="J15">
        <f t="shared" si="1744"/>
        <v>-24</v>
      </c>
      <c r="K15">
        <f t="shared" si="1746"/>
        <v>-212</v>
      </c>
      <c r="L15">
        <f t="shared" si="1748"/>
        <v>366</v>
      </c>
      <c r="M15">
        <f t="shared" si="1740"/>
        <v>-45</v>
      </c>
      <c r="O15" s="14" t="s">
        <v>390</v>
      </c>
      <c r="P15" s="14">
        <f>P9-1</f>
        <v>34</v>
      </c>
      <c r="Q15" s="14">
        <f>DEVSQ(M3:M37)</f>
        <v>1109049.88571429</v>
      </c>
      <c r="R15" s="14"/>
      <c r="S15" s="14"/>
      <c r="T15" s="14"/>
      <c r="U15" s="14"/>
      <c r="X15" s="14" t="s">
        <v>390</v>
      </c>
      <c r="Y15" s="14">
        <f>Y9-1</f>
        <v>34</v>
      </c>
      <c r="Z15" s="14">
        <f>DEVSQ(M3:M37)</f>
        <v>1109049.88571429</v>
      </c>
      <c r="AA15" s="14"/>
      <c r="AB15" s="14"/>
      <c r="AC15" s="14"/>
      <c r="AD15" s="14"/>
    </row>
    <row r="16">
      <c r="A16">
        <v>1945</v>
      </c>
      <c r="B16">
        <f>'Granger 1'!B16-'Granger 1'!B15</f>
        <v>-65700</v>
      </c>
      <c r="C16">
        <f>'Granger 1'!C16-'Granger 1'!C15</f>
        <v>-212</v>
      </c>
      <c r="E16">
        <f t="shared" si="1741"/>
        <v>32427</v>
      </c>
      <c r="F16">
        <f t="shared" si="1743"/>
        <v>-56010</v>
      </c>
      <c r="G16">
        <f t="shared" si="1745"/>
        <v>6730</v>
      </c>
      <c r="H16">
        <f t="shared" si="1747"/>
        <v>-65700</v>
      </c>
      <c r="I16">
        <f t="shared" si="1742"/>
        <v>-45</v>
      </c>
      <c r="J16">
        <f t="shared" si="1744"/>
        <v>-53</v>
      </c>
      <c r="K16">
        <f t="shared" si="1746"/>
        <v>-24</v>
      </c>
      <c r="L16">
        <f t="shared" si="1748"/>
        <v>-212</v>
      </c>
      <c r="M16">
        <f t="shared" si="1740"/>
        <v>116</v>
      </c>
    </row>
    <row r="17">
      <c r="A17">
        <v>1946</v>
      </c>
      <c r="B17">
        <f>'Granger 1'!B17-'Granger 1'!B16</f>
        <v>6730</v>
      </c>
      <c r="C17">
        <f>'Granger 1'!C17-'Granger 1'!C16</f>
        <v>-24</v>
      </c>
      <c r="E17">
        <f t="shared" si="1741"/>
        <v>-68768</v>
      </c>
      <c r="F17">
        <f t="shared" si="1743"/>
        <v>32427</v>
      </c>
      <c r="G17">
        <f t="shared" si="1745"/>
        <v>-56010</v>
      </c>
      <c r="H17">
        <f t="shared" si="1747"/>
        <v>6730</v>
      </c>
      <c r="I17">
        <f t="shared" si="1742"/>
        <v>116</v>
      </c>
      <c r="J17">
        <f t="shared" si="1744"/>
        <v>-45</v>
      </c>
      <c r="K17">
        <f t="shared" si="1746"/>
        <v>-53</v>
      </c>
      <c r="L17">
        <f t="shared" si="1748"/>
        <v>-24</v>
      </c>
      <c r="M17">
        <f t="shared" si="1740"/>
        <v>256</v>
      </c>
      <c r="O17" s="24"/>
      <c r="P17" s="24" t="s">
        <v>391</v>
      </c>
      <c r="Q17" s="24" t="s">
        <v>392</v>
      </c>
      <c r="R17" s="24" t="s">
        <v>393</v>
      </c>
      <c r="S17" s="24" t="s">
        <v>189</v>
      </c>
      <c r="T17" s="24" t="s">
        <v>215</v>
      </c>
      <c r="U17" s="24" t="s">
        <v>216</v>
      </c>
      <c r="V17" s="24" t="s">
        <v>397</v>
      </c>
      <c r="X17" s="24"/>
      <c r="Y17" s="24" t="s">
        <v>391</v>
      </c>
      <c r="Z17" s="24" t="s">
        <v>392</v>
      </c>
      <c r="AA17" s="24" t="s">
        <v>393</v>
      </c>
      <c r="AB17" s="24" t="s">
        <v>189</v>
      </c>
      <c r="AC17" s="24" t="s">
        <v>215</v>
      </c>
      <c r="AD17" s="24" t="s">
        <v>216</v>
      </c>
      <c r="AE17" s="24" t="s">
        <v>397</v>
      </c>
    </row>
    <row r="18">
      <c r="A18">
        <v>1947</v>
      </c>
      <c r="B18">
        <f>'Granger 1'!B18-'Granger 1'!B17</f>
        <v>-56010</v>
      </c>
      <c r="C18">
        <f>'Granger 1'!C18-'Granger 1'!C17</f>
        <v>-53</v>
      </c>
      <c r="E18">
        <f t="shared" si="1741"/>
        <v>25673</v>
      </c>
      <c r="F18">
        <f t="shared" si="1743"/>
        <v>-68768</v>
      </c>
      <c r="G18">
        <f t="shared" si="1745"/>
        <v>32427</v>
      </c>
      <c r="H18">
        <f t="shared" si="1747"/>
        <v>-56010</v>
      </c>
      <c r="I18">
        <f t="shared" si="1742"/>
        <v>256</v>
      </c>
      <c r="J18">
        <f t="shared" si="1744"/>
        <v>116</v>
      </c>
      <c r="K18">
        <f t="shared" si="1746"/>
        <v>-45</v>
      </c>
      <c r="L18">
        <f t="shared" si="1748"/>
        <v>-53</v>
      </c>
      <c r="M18">
        <f t="shared" si="1740"/>
        <v>-82</v>
      </c>
      <c r="O18" t="s">
        <v>396</v>
      </c>
      <c r="P18" t="e">
        <v>#NAME?</v>
      </c>
      <c r="Q18" t="e">
        <v>#NAME?</v>
      </c>
      <c r="R18" t="e">
        <f t="shared" ref="R18:R26" si="1751">P18/Q18</f>
        <v>#NAME?</v>
      </c>
      <c r="S18" t="e">
        <f t="shared" ref="S18:S26" si="1752">_xlfn.T.DIST.2T(ABS(R18),$P$14)</f>
        <v>#NAME?</v>
      </c>
      <c r="T18" t="e">
        <f t="shared" ref="T18:T26" si="1753">P18-_xlfn.T.INV.2T(T$11,$P$14)*Q18</f>
        <v>#NAME?</v>
      </c>
      <c r="U18" t="e">
        <f t="shared" ref="U18:U26" si="1754">P18+_xlfn.T.INV.2T(T$11,$P$14)*Q18</f>
        <v>#NAME?</v>
      </c>
      <c r="X18" t="s">
        <v>396</v>
      </c>
      <c r="Y18" t="e">
        <v>#NAME?</v>
      </c>
      <c r="Z18" t="e">
        <v>#NAME?</v>
      </c>
      <c r="AA18" t="e">
        <f t="shared" ref="AA18:AA22" si="1755">Y18/Z18</f>
        <v>#NAME?</v>
      </c>
      <c r="AB18" t="e">
        <f t="shared" ref="AB18:AB22" si="1756">_xlfn.T.DIST.2T(ABS(AA18),$Y$14)</f>
        <v>#NAME?</v>
      </c>
      <c r="AC18" t="e">
        <f t="shared" ref="AC18:AC22" si="1757">Y18-_xlfn.T.INV.2T(AC$11,$Y$14)*Z18</f>
        <v>#NAME?</v>
      </c>
      <c r="AD18" t="e">
        <f t="shared" ref="AD18:AD22" si="1758">Y18+_xlfn.T.INV.2T(AC$11,$Y$14)*Z18</f>
        <v>#NAME?</v>
      </c>
    </row>
    <row r="19">
      <c r="A19">
        <v>1948</v>
      </c>
      <c r="B19">
        <f>'Granger 1'!B19-'Granger 1'!B18</f>
        <v>32427</v>
      </c>
      <c r="C19">
        <f>'Granger 1'!C19-'Granger 1'!C18</f>
        <v>-45</v>
      </c>
      <c r="E19">
        <f t="shared" si="1741"/>
        <v>-25561</v>
      </c>
      <c r="F19">
        <f t="shared" si="1743"/>
        <v>25673</v>
      </c>
      <c r="G19">
        <f t="shared" si="1745"/>
        <v>-68768</v>
      </c>
      <c r="H19">
        <f t="shared" si="1747"/>
        <v>32427</v>
      </c>
      <c r="I19">
        <f t="shared" si="1742"/>
        <v>-82</v>
      </c>
      <c r="J19">
        <f t="shared" si="1744"/>
        <v>256</v>
      </c>
      <c r="K19">
        <f t="shared" si="1746"/>
        <v>116</v>
      </c>
      <c r="L19">
        <f t="shared" si="1748"/>
        <v>-45</v>
      </c>
      <c r="M19">
        <f t="shared" si="1740"/>
        <v>1</v>
      </c>
      <c r="O19" t="str">
        <f t="array" ref="O19:O26">TRANSPOSE(E2:L2)</f>
        <v>chick-1</v>
      </c>
      <c r="P19" t="e">
        <v>#NAME?</v>
      </c>
      <c r="Q19" t="e">
        <v>#NAME?</v>
      </c>
      <c r="R19" t="e">
        <f t="shared" si="1751"/>
        <v>#NAME?</v>
      </c>
      <c r="S19" t="e">
        <f t="shared" si="1752"/>
        <v>#NAME?</v>
      </c>
      <c r="T19" t="e">
        <f t="shared" si="1753"/>
        <v>#NAME?</v>
      </c>
      <c r="U19" t="e">
        <f t="shared" si="1754"/>
        <v>#NAME?</v>
      </c>
      <c r="V19" t="e">
        <v>#NAME?</v>
      </c>
      <c r="X19" t="str">
        <f t="array" ref="X19:X22">TRANSPOSE(I2:L2)</f>
        <v>egg-1</v>
      </c>
      <c r="Y19" t="e">
        <v>#NAME?</v>
      </c>
      <c r="Z19" t="e">
        <v>#NAME?</v>
      </c>
      <c r="AA19" t="e">
        <f t="shared" si="1755"/>
        <v>#NAME?</v>
      </c>
      <c r="AB19" t="e">
        <f t="shared" si="1756"/>
        <v>#NAME?</v>
      </c>
      <c r="AC19" t="e">
        <f t="shared" si="1757"/>
        <v>#NAME?</v>
      </c>
      <c r="AD19" t="e">
        <f t="shared" si="1758"/>
        <v>#NAME?</v>
      </c>
      <c r="AE19" t="e">
        <v>#NAME?</v>
      </c>
    </row>
    <row r="20">
      <c r="A20">
        <v>1949</v>
      </c>
      <c r="B20">
        <f>'Granger 1'!B20-'Granger 1'!B19</f>
        <v>-68768</v>
      </c>
      <c r="C20">
        <f>'Granger 1'!C20-'Granger 1'!C19</f>
        <v>116</v>
      </c>
      <c r="E20">
        <f t="shared" si="1741"/>
        <v>-4433</v>
      </c>
      <c r="F20">
        <f t="shared" si="1743"/>
        <v>-25561</v>
      </c>
      <c r="G20">
        <f t="shared" si="1745"/>
        <v>25673</v>
      </c>
      <c r="H20">
        <f t="shared" si="1747"/>
        <v>-68768</v>
      </c>
      <c r="I20">
        <f t="shared" si="1742"/>
        <v>1</v>
      </c>
      <c r="J20">
        <f t="shared" si="1744"/>
        <v>-82</v>
      </c>
      <c r="K20">
        <f t="shared" si="1746"/>
        <v>256</v>
      </c>
      <c r="L20">
        <f t="shared" si="1748"/>
        <v>116</v>
      </c>
      <c r="M20">
        <f t="shared" si="1740"/>
        <v>-16</v>
      </c>
      <c r="O20" t="str">
        <f/>
        <v>chick-2</v>
      </c>
      <c r="P20" t="e">
        <v>#NAME?</v>
      </c>
      <c r="Q20" t="e">
        <v>#NAME?</v>
      </c>
      <c r="R20" t="e">
        <f t="shared" si="1751"/>
        <v>#NAME?</v>
      </c>
      <c r="S20" t="e">
        <f t="shared" si="1752"/>
        <v>#NAME?</v>
      </c>
      <c r="T20" t="e">
        <f t="shared" si="1753"/>
        <v>#NAME?</v>
      </c>
      <c r="U20" t="e">
        <f t="shared" si="1754"/>
        <v>#NAME?</v>
      </c>
      <c r="V20" t="e">
        <v>#NAME?</v>
      </c>
      <c r="X20" t="str">
        <f/>
        <v>egg-2</v>
      </c>
      <c r="Y20" t="e">
        <v>#NAME?</v>
      </c>
      <c r="Z20" t="e">
        <v>#NAME?</v>
      </c>
      <c r="AA20" t="e">
        <f t="shared" si="1755"/>
        <v>#NAME?</v>
      </c>
      <c r="AB20" t="e">
        <f t="shared" si="1756"/>
        <v>#NAME?</v>
      </c>
      <c r="AC20" t="e">
        <f t="shared" si="1757"/>
        <v>#NAME?</v>
      </c>
      <c r="AD20" t="e">
        <f t="shared" si="1758"/>
        <v>#NAME?</v>
      </c>
      <c r="AE20" t="e">
        <v>#NAME?</v>
      </c>
    </row>
    <row r="21">
      <c r="A21">
        <v>1950</v>
      </c>
      <c r="B21">
        <f>'Granger 1'!B21-'Granger 1'!B20</f>
        <v>25673</v>
      </c>
      <c r="C21">
        <f>'Granger 1'!C21-'Granger 1'!C20</f>
        <v>256</v>
      </c>
      <c r="E21">
        <f t="shared" si="1741"/>
        <v>-28399</v>
      </c>
      <c r="F21">
        <f t="shared" si="1743"/>
        <v>-4433</v>
      </c>
      <c r="G21">
        <f t="shared" si="1745"/>
        <v>-25561</v>
      </c>
      <c r="H21">
        <f t="shared" si="1747"/>
        <v>25673</v>
      </c>
      <c r="I21">
        <f t="shared" si="1742"/>
        <v>-16</v>
      </c>
      <c r="J21">
        <f t="shared" si="1744"/>
        <v>1</v>
      </c>
      <c r="K21">
        <f t="shared" si="1746"/>
        <v>-82</v>
      </c>
      <c r="L21">
        <f t="shared" si="1748"/>
        <v>256</v>
      </c>
      <c r="M21">
        <f t="shared" si="1740"/>
        <v>95</v>
      </c>
      <c r="O21" t="str">
        <f/>
        <v>chick-3</v>
      </c>
      <c r="P21" t="e">
        <v>#NAME?</v>
      </c>
      <c r="Q21" t="e">
        <v>#NAME?</v>
      </c>
      <c r="R21" t="e">
        <f t="shared" si="1751"/>
        <v>#NAME?</v>
      </c>
      <c r="S21" t="e">
        <f t="shared" si="1752"/>
        <v>#NAME?</v>
      </c>
      <c r="T21" t="e">
        <f t="shared" si="1753"/>
        <v>#NAME?</v>
      </c>
      <c r="U21" t="e">
        <f t="shared" si="1754"/>
        <v>#NAME?</v>
      </c>
      <c r="V21" t="e">
        <v>#NAME?</v>
      </c>
      <c r="X21" t="str">
        <f/>
        <v>egg-3</v>
      </c>
      <c r="Y21" t="e">
        <v>#NAME?</v>
      </c>
      <c r="Z21" t="e">
        <v>#NAME?</v>
      </c>
      <c r="AA21" t="e">
        <f t="shared" si="1755"/>
        <v>#NAME?</v>
      </c>
      <c r="AB21" t="e">
        <f t="shared" si="1756"/>
        <v>#NAME?</v>
      </c>
      <c r="AC21" t="e">
        <f t="shared" si="1757"/>
        <v>#NAME?</v>
      </c>
      <c r="AD21" t="e">
        <f t="shared" si="1758"/>
        <v>#NAME?</v>
      </c>
      <c r="AE21" t="e">
        <v>#NAME?</v>
      </c>
    </row>
    <row r="22">
      <c r="A22">
        <v>1951</v>
      </c>
      <c r="B22">
        <f>'Granger 1'!B22-'Granger 1'!B21</f>
        <v>-25561</v>
      </c>
      <c r="C22">
        <f>'Granger 1'!C22-'Granger 1'!C21</f>
        <v>-82</v>
      </c>
      <c r="E22">
        <f t="shared" si="1741"/>
        <v>-1380</v>
      </c>
      <c r="F22">
        <f t="shared" si="1743"/>
        <v>-28399</v>
      </c>
      <c r="G22">
        <f t="shared" si="1745"/>
        <v>-4433</v>
      </c>
      <c r="H22">
        <f t="shared" si="1747"/>
        <v>-25561</v>
      </c>
      <c r="I22">
        <f t="shared" si="1742"/>
        <v>95</v>
      </c>
      <c r="J22">
        <f t="shared" si="1744"/>
        <v>-16</v>
      </c>
      <c r="K22">
        <f t="shared" si="1746"/>
        <v>1</v>
      </c>
      <c r="L22">
        <f t="shared" si="1748"/>
        <v>-82</v>
      </c>
      <c r="M22">
        <f t="shared" si="1740"/>
        <v>5</v>
      </c>
      <c r="O22" t="str">
        <f/>
        <v>chick-4</v>
      </c>
      <c r="P22" t="e">
        <v>#NAME?</v>
      </c>
      <c r="Q22" t="e">
        <v>#NAME?</v>
      </c>
      <c r="R22" t="e">
        <f t="shared" si="1751"/>
        <v>#NAME?</v>
      </c>
      <c r="S22" t="e">
        <f t="shared" si="1752"/>
        <v>#NAME?</v>
      </c>
      <c r="T22" t="e">
        <f t="shared" si="1753"/>
        <v>#NAME?</v>
      </c>
      <c r="U22" t="e">
        <f t="shared" si="1754"/>
        <v>#NAME?</v>
      </c>
      <c r="V22" t="e">
        <v>#NAME?</v>
      </c>
      <c r="X22" s="14" t="str">
        <f/>
        <v>egg-4</v>
      </c>
      <c r="Y22" s="14" t="e">
        <v>#NAME?</v>
      </c>
      <c r="Z22" s="14" t="e">
        <v>#NAME?</v>
      </c>
      <c r="AA22" s="14" t="e">
        <f t="shared" si="1755"/>
        <v>#NAME?</v>
      </c>
      <c r="AB22" s="14" t="e">
        <f t="shared" si="1756"/>
        <v>#NAME?</v>
      </c>
      <c r="AC22" s="14" t="e">
        <f t="shared" si="1757"/>
        <v>#NAME?</v>
      </c>
      <c r="AD22" s="14" t="e">
        <f t="shared" si="1758"/>
        <v>#NAME?</v>
      </c>
      <c r="AE22" s="14" t="e">
        <v>#NAME?</v>
      </c>
    </row>
    <row r="23">
      <c r="A23">
        <v>1952</v>
      </c>
      <c r="B23">
        <f>'Granger 1'!B23-'Granger 1'!B22</f>
        <v>-4433</v>
      </c>
      <c r="C23">
        <f>'Granger 1'!C23-'Granger 1'!C22</f>
        <v>1</v>
      </c>
      <c r="E23">
        <f t="shared" si="1741"/>
        <v>-6068</v>
      </c>
      <c r="F23">
        <f t="shared" si="1743"/>
        <v>-1380</v>
      </c>
      <c r="G23">
        <f t="shared" si="1745"/>
        <v>-28399</v>
      </c>
      <c r="H23">
        <f t="shared" si="1747"/>
        <v>-4433</v>
      </c>
      <c r="I23">
        <f t="shared" si="1742"/>
        <v>5</v>
      </c>
      <c r="J23">
        <f t="shared" si="1744"/>
        <v>95</v>
      </c>
      <c r="K23">
        <f t="shared" si="1746"/>
        <v>-16</v>
      </c>
      <c r="L23">
        <f t="shared" si="1748"/>
        <v>1</v>
      </c>
      <c r="M23">
        <f t="shared" si="1740"/>
        <v>93</v>
      </c>
      <c r="O23" t="str">
        <f/>
        <v>egg-1</v>
      </c>
      <c r="P23" t="e">
        <v>#NAME?</v>
      </c>
      <c r="Q23" t="e">
        <v>#NAME?</v>
      </c>
      <c r="R23" t="e">
        <f t="shared" si="1751"/>
        <v>#NAME?</v>
      </c>
      <c r="S23" t="e">
        <f t="shared" si="1752"/>
        <v>#NAME?</v>
      </c>
      <c r="T23" t="e">
        <f t="shared" si="1753"/>
        <v>#NAME?</v>
      </c>
      <c r="U23" t="e">
        <f t="shared" si="1754"/>
        <v>#NAME?</v>
      </c>
      <c r="V23" t="e">
        <v>#NAME?</v>
      </c>
    </row>
    <row r="24">
      <c r="A24">
        <v>1953</v>
      </c>
      <c r="B24">
        <f>'Granger 1'!B24-'Granger 1'!B23</f>
        <v>-28399</v>
      </c>
      <c r="C24">
        <f>'Granger 1'!C24-'Granger 1'!C23</f>
        <v>-16</v>
      </c>
      <c r="E24">
        <f t="shared" si="1741"/>
        <v>-7018</v>
      </c>
      <c r="F24">
        <f t="shared" si="1743"/>
        <v>-6068</v>
      </c>
      <c r="G24">
        <f t="shared" si="1745"/>
        <v>-1380</v>
      </c>
      <c r="H24">
        <f t="shared" si="1747"/>
        <v>-28399</v>
      </c>
      <c r="I24">
        <f t="shared" si="1742"/>
        <v>93</v>
      </c>
      <c r="J24">
        <f t="shared" si="1744"/>
        <v>5</v>
      </c>
      <c r="K24">
        <f t="shared" si="1746"/>
        <v>95</v>
      </c>
      <c r="L24">
        <f t="shared" si="1748"/>
        <v>-16</v>
      </c>
      <c r="M24">
        <f t="shared" si="1740"/>
        <v>-58</v>
      </c>
      <c r="O24" t="str">
        <f/>
        <v>egg-2</v>
      </c>
      <c r="P24" t="e">
        <v>#NAME?</v>
      </c>
      <c r="Q24" t="e">
        <v>#NAME?</v>
      </c>
      <c r="R24" t="e">
        <f t="shared" si="1751"/>
        <v>#NAME?</v>
      </c>
      <c r="S24" t="e">
        <f t="shared" si="1752"/>
        <v>#NAME?</v>
      </c>
      <c r="T24" t="e">
        <f t="shared" si="1753"/>
        <v>#NAME?</v>
      </c>
      <c r="U24" t="e">
        <f t="shared" si="1754"/>
        <v>#NAME?</v>
      </c>
      <c r="V24" t="e">
        <v>#NAME?</v>
      </c>
    </row>
    <row r="25">
      <c r="A25">
        <v>1954</v>
      </c>
      <c r="B25">
        <f>'Granger 1'!B25-'Granger 1'!B24</f>
        <v>-1380</v>
      </c>
      <c r="C25">
        <f>'Granger 1'!C25-'Granger 1'!C24</f>
        <v>95</v>
      </c>
      <c r="E25">
        <f t="shared" si="1741"/>
        <v>7673</v>
      </c>
      <c r="F25">
        <f t="shared" si="1743"/>
        <v>-7018</v>
      </c>
      <c r="G25">
        <f t="shared" si="1745"/>
        <v>-6068</v>
      </c>
      <c r="H25">
        <f t="shared" si="1747"/>
        <v>-1380</v>
      </c>
      <c r="I25">
        <f t="shared" si="1742"/>
        <v>-58</v>
      </c>
      <c r="J25">
        <f t="shared" si="1744"/>
        <v>93</v>
      </c>
      <c r="K25">
        <f t="shared" si="1746"/>
        <v>5</v>
      </c>
      <c r="L25">
        <f t="shared" si="1748"/>
        <v>95</v>
      </c>
      <c r="M25">
        <f t="shared" si="1740"/>
        <v>0</v>
      </c>
      <c r="O25" t="str">
        <f/>
        <v>egg-3</v>
      </c>
      <c r="P25" t="e">
        <v>#NAME?</v>
      </c>
      <c r="Q25" t="e">
        <v>#NAME?</v>
      </c>
      <c r="R25" t="e">
        <f t="shared" si="1751"/>
        <v>#NAME?</v>
      </c>
      <c r="S25" t="e">
        <f t="shared" si="1752"/>
        <v>#NAME?</v>
      </c>
      <c r="T25" t="e">
        <f t="shared" si="1753"/>
        <v>#NAME?</v>
      </c>
      <c r="U25" t="e">
        <f t="shared" si="1754"/>
        <v>#NAME?</v>
      </c>
      <c r="V25" t="e">
        <v>#NAME?</v>
      </c>
    </row>
    <row r="26">
      <c r="A26">
        <v>1955</v>
      </c>
      <c r="B26">
        <f>'Granger 1'!B26-'Granger 1'!B25</f>
        <v>-6068</v>
      </c>
      <c r="C26">
        <f>'Granger 1'!C26-'Granger 1'!C25</f>
        <v>5</v>
      </c>
      <c r="E26">
        <f t="shared" si="1741"/>
        <v>-17082</v>
      </c>
      <c r="F26">
        <f t="shared" si="1743"/>
        <v>7673</v>
      </c>
      <c r="G26">
        <f t="shared" si="1745"/>
        <v>-7018</v>
      </c>
      <c r="H26">
        <f t="shared" si="1747"/>
        <v>-6068</v>
      </c>
      <c r="I26">
        <f t="shared" si="1742"/>
        <v>0</v>
      </c>
      <c r="J26">
        <f t="shared" si="1744"/>
        <v>-58</v>
      </c>
      <c r="K26">
        <f t="shared" si="1746"/>
        <v>93</v>
      </c>
      <c r="L26">
        <f t="shared" si="1748"/>
        <v>5</v>
      </c>
      <c r="M26">
        <f t="shared" si="1740"/>
        <v>100</v>
      </c>
      <c r="O26" s="14" t="str">
        <f/>
        <v>egg-4</v>
      </c>
      <c r="P26" s="14" t="e">
        <v>#NAME?</v>
      </c>
      <c r="Q26" s="14" t="e">
        <v>#NAME?</v>
      </c>
      <c r="R26" s="14" t="e">
        <f t="shared" si="1751"/>
        <v>#NAME?</v>
      </c>
      <c r="S26" s="14" t="e">
        <f t="shared" si="1752"/>
        <v>#NAME?</v>
      </c>
      <c r="T26" s="14" t="e">
        <f t="shared" si="1753"/>
        <v>#NAME?</v>
      </c>
      <c r="U26" s="14" t="e">
        <f t="shared" si="1754"/>
        <v>#NAME?</v>
      </c>
      <c r="V26" s="14" t="e">
        <v>#NAME?</v>
      </c>
    </row>
    <row r="27">
      <c r="A27">
        <v>1956</v>
      </c>
      <c r="B27">
        <f>'Granger 1'!B27-'Granger 1'!B26</f>
        <v>-7018</v>
      </c>
      <c r="C27">
        <f>'Granger 1'!C27-'Granger 1'!C26</f>
        <v>93</v>
      </c>
      <c r="E27">
        <f t="shared" si="1741"/>
        <v>12721</v>
      </c>
      <c r="F27">
        <f t="shared" si="1743"/>
        <v>-17082</v>
      </c>
      <c r="G27">
        <f t="shared" si="1745"/>
        <v>7673</v>
      </c>
      <c r="H27">
        <f t="shared" si="1747"/>
        <v>-7018</v>
      </c>
      <c r="I27">
        <f t="shared" si="1742"/>
        <v>100</v>
      </c>
      <c r="J27">
        <f t="shared" si="1744"/>
        <v>0</v>
      </c>
      <c r="K27">
        <f t="shared" si="1746"/>
        <v>-58</v>
      </c>
      <c r="L27">
        <f t="shared" si="1748"/>
        <v>93</v>
      </c>
      <c r="M27">
        <f t="shared" si="1740"/>
        <v>-203</v>
      </c>
    </row>
    <row r="28">
      <c r="A28">
        <v>1957</v>
      </c>
      <c r="B28">
        <f>'Granger 1'!B28-'Granger 1'!B27</f>
        <v>7673</v>
      </c>
      <c r="C28">
        <f>'Granger 1'!C28-'Granger 1'!C27</f>
        <v>-58</v>
      </c>
      <c r="E28">
        <f t="shared" si="1741"/>
        <v>-17518</v>
      </c>
      <c r="F28">
        <f t="shared" si="1743"/>
        <v>12721</v>
      </c>
      <c r="G28">
        <f t="shared" si="1745"/>
        <v>-17082</v>
      </c>
      <c r="H28">
        <f t="shared" si="1747"/>
        <v>7673</v>
      </c>
      <c r="I28">
        <f t="shared" si="1742"/>
        <v>-203</v>
      </c>
      <c r="J28">
        <f t="shared" si="1744"/>
        <v>100</v>
      </c>
      <c r="K28">
        <f t="shared" si="1746"/>
        <v>0</v>
      </c>
      <c r="L28">
        <f t="shared" si="1748"/>
        <v>-58</v>
      </c>
      <c r="M28">
        <f t="shared" si="1740"/>
        <v>19</v>
      </c>
    </row>
    <row r="29">
      <c r="A29">
        <v>1958</v>
      </c>
      <c r="B29">
        <f>'Granger 1'!B29-'Granger 1'!B28</f>
        <v>-17082</v>
      </c>
      <c r="C29">
        <f>'Granger 1'!C29-'Granger 1'!C28</f>
        <v>0</v>
      </c>
      <c r="E29">
        <f t="shared" si="1741"/>
        <v>-3402</v>
      </c>
      <c r="F29">
        <f t="shared" si="1743"/>
        <v>-17518</v>
      </c>
      <c r="G29">
        <f t="shared" si="1745"/>
        <v>12721</v>
      </c>
      <c r="H29">
        <f t="shared" si="1747"/>
        <v>-17082</v>
      </c>
      <c r="I29">
        <f t="shared" si="1742"/>
        <v>19</v>
      </c>
      <c r="J29">
        <f t="shared" si="1744"/>
        <v>-203</v>
      </c>
      <c r="K29">
        <f t="shared" si="1746"/>
        <v>100</v>
      </c>
      <c r="L29">
        <f t="shared" si="1748"/>
        <v>0</v>
      </c>
      <c r="M29">
        <f t="shared" si="1740"/>
        <v>45</v>
      </c>
    </row>
    <row r="30">
      <c r="A30">
        <v>1959</v>
      </c>
      <c r="B30">
        <f>'Granger 1'!B30-'Granger 1'!B29</f>
        <v>12721</v>
      </c>
      <c r="C30">
        <f>'Granger 1'!C30-'Granger 1'!C29</f>
        <v>100</v>
      </c>
      <c r="E30">
        <f t="shared" si="1741"/>
        <v>11310</v>
      </c>
      <c r="F30">
        <f t="shared" si="1743"/>
        <v>-3402</v>
      </c>
      <c r="G30">
        <f t="shared" si="1745"/>
        <v>-17518</v>
      </c>
      <c r="H30">
        <f t="shared" si="1747"/>
        <v>12721</v>
      </c>
      <c r="I30">
        <f t="shared" si="1742"/>
        <v>45</v>
      </c>
      <c r="J30">
        <f t="shared" si="1744"/>
        <v>19</v>
      </c>
      <c r="K30">
        <f t="shared" si="1746"/>
        <v>-203</v>
      </c>
      <c r="L30">
        <f t="shared" si="1748"/>
        <v>100</v>
      </c>
      <c r="M30">
        <f t="shared" si="1740"/>
        <v>-58</v>
      </c>
    </row>
    <row r="31">
      <c r="A31">
        <v>1960</v>
      </c>
      <c r="B31">
        <f>'Granger 1'!B31-'Granger 1'!B30</f>
        <v>-17518</v>
      </c>
      <c r="C31">
        <f>'Granger 1'!C31-'Granger 1'!C30</f>
        <v>-203</v>
      </c>
      <c r="E31">
        <f t="shared" si="1741"/>
        <v>-1817</v>
      </c>
      <c r="F31">
        <f t="shared" si="1743"/>
        <v>11310</v>
      </c>
      <c r="G31">
        <f t="shared" si="1745"/>
        <v>-3402</v>
      </c>
      <c r="H31">
        <f t="shared" si="1747"/>
        <v>-17518</v>
      </c>
      <c r="I31">
        <f t="shared" si="1742"/>
        <v>-58</v>
      </c>
      <c r="J31">
        <f t="shared" si="1744"/>
        <v>45</v>
      </c>
      <c r="K31">
        <f t="shared" si="1746"/>
        <v>19</v>
      </c>
      <c r="L31">
        <f t="shared" si="1748"/>
        <v>-203</v>
      </c>
      <c r="M31">
        <f t="shared" si="1740"/>
        <v>90</v>
      </c>
    </row>
    <row r="32">
      <c r="A32">
        <v>1961</v>
      </c>
      <c r="B32">
        <f>'Granger 1'!B32-'Granger 1'!B31</f>
        <v>-3402</v>
      </c>
      <c r="C32">
        <f>'Granger 1'!C32-'Granger 1'!C31</f>
        <v>19</v>
      </c>
      <c r="E32">
        <f t="shared" si="1741"/>
        <v>6687</v>
      </c>
      <c r="F32">
        <f t="shared" si="1743"/>
        <v>-1817</v>
      </c>
      <c r="G32">
        <f t="shared" si="1745"/>
        <v>11310</v>
      </c>
      <c r="H32">
        <f t="shared" si="1747"/>
        <v>-3402</v>
      </c>
      <c r="I32">
        <f t="shared" si="1742"/>
        <v>90</v>
      </c>
      <c r="J32">
        <f t="shared" si="1744"/>
        <v>-58</v>
      </c>
      <c r="K32">
        <f t="shared" si="1746"/>
        <v>45</v>
      </c>
      <c r="L32">
        <f t="shared" si="1748"/>
        <v>19</v>
      </c>
      <c r="M32">
        <f t="shared" si="1740"/>
        <v>39</v>
      </c>
    </row>
    <row r="33">
      <c r="A33">
        <v>1962</v>
      </c>
      <c r="B33">
        <f>'Granger 1'!B33-'Granger 1'!B32</f>
        <v>11310</v>
      </c>
      <c r="C33">
        <f>'Granger 1'!C33-'Granger 1'!C32</f>
        <v>45</v>
      </c>
      <c r="E33">
        <f t="shared" si="1741"/>
        <v>11856</v>
      </c>
      <c r="F33">
        <f t="shared" si="1743"/>
        <v>6687</v>
      </c>
      <c r="G33">
        <f t="shared" si="1745"/>
        <v>-1817</v>
      </c>
      <c r="H33">
        <f t="shared" si="1747"/>
        <v>11310</v>
      </c>
      <c r="I33">
        <f t="shared" si="1742"/>
        <v>39</v>
      </c>
      <c r="J33">
        <f t="shared" si="1744"/>
        <v>90</v>
      </c>
      <c r="K33">
        <f t="shared" si="1746"/>
        <v>-58</v>
      </c>
      <c r="L33">
        <f t="shared" si="1748"/>
        <v>45</v>
      </c>
      <c r="M33">
        <f t="shared" si="1740"/>
        <v>66</v>
      </c>
    </row>
    <row r="34">
      <c r="A34">
        <v>1963</v>
      </c>
      <c r="B34">
        <f>'Granger 1'!B34-'Granger 1'!B33</f>
        <v>-1817</v>
      </c>
      <c r="C34">
        <f>'Granger 1'!C34-'Granger 1'!C33</f>
        <v>-58</v>
      </c>
      <c r="E34">
        <f t="shared" si="1741"/>
        <v>-1099</v>
      </c>
      <c r="F34">
        <f t="shared" si="1743"/>
        <v>11856</v>
      </c>
      <c r="G34">
        <f t="shared" si="1745"/>
        <v>6687</v>
      </c>
      <c r="H34">
        <f t="shared" si="1747"/>
        <v>-1817</v>
      </c>
      <c r="I34">
        <f t="shared" si="1742"/>
        <v>66</v>
      </c>
      <c r="J34">
        <f t="shared" si="1744"/>
        <v>39</v>
      </c>
      <c r="K34">
        <f t="shared" si="1746"/>
        <v>90</v>
      </c>
      <c r="L34">
        <f t="shared" si="1748"/>
        <v>-58</v>
      </c>
      <c r="M34">
        <f t="shared" si="1740"/>
        <v>296</v>
      </c>
    </row>
    <row r="35">
      <c r="A35">
        <v>1964</v>
      </c>
      <c r="B35">
        <f>'Granger 1'!B35-'Granger 1'!B34</f>
        <v>6687</v>
      </c>
      <c r="C35">
        <f>'Granger 1'!C35-'Granger 1'!C34</f>
        <v>90</v>
      </c>
      <c r="E35">
        <f t="shared" si="1741"/>
        <v>35727</v>
      </c>
      <c r="F35">
        <f t="shared" si="1743"/>
        <v>-1099</v>
      </c>
      <c r="G35">
        <f t="shared" si="1745"/>
        <v>11856</v>
      </c>
      <c r="H35">
        <f t="shared" si="1747"/>
        <v>6687</v>
      </c>
      <c r="I35">
        <f t="shared" si="1742"/>
        <v>296</v>
      </c>
      <c r="J35">
        <f t="shared" si="1744"/>
        <v>66</v>
      </c>
      <c r="K35">
        <f t="shared" si="1746"/>
        <v>39</v>
      </c>
      <c r="L35">
        <f t="shared" si="1748"/>
        <v>90</v>
      </c>
      <c r="M35">
        <f t="shared" si="1740"/>
        <v>-59</v>
      </c>
    </row>
    <row r="36">
      <c r="A36">
        <v>1965</v>
      </c>
      <c r="B36">
        <f>'Granger 1'!B36-'Granger 1'!B35</f>
        <v>11856</v>
      </c>
      <c r="C36">
        <f>'Granger 1'!C36-'Granger 1'!C35</f>
        <v>39</v>
      </c>
      <c r="E36">
        <f t="shared" si="1741"/>
        <v>-3588</v>
      </c>
      <c r="F36">
        <f t="shared" si="1743"/>
        <v>35727</v>
      </c>
      <c r="G36">
        <f t="shared" si="1745"/>
        <v>-1099</v>
      </c>
      <c r="H36">
        <f t="shared" si="1747"/>
        <v>11856</v>
      </c>
      <c r="I36">
        <f t="shared" si="1742"/>
        <v>-59</v>
      </c>
      <c r="J36">
        <f t="shared" si="1744"/>
        <v>296</v>
      </c>
      <c r="K36">
        <f t="shared" si="1746"/>
        <v>66</v>
      </c>
      <c r="L36">
        <f t="shared" si="1748"/>
        <v>39</v>
      </c>
      <c r="M36">
        <f t="shared" si="1740"/>
        <v>-148</v>
      </c>
    </row>
    <row r="37">
      <c r="A37">
        <v>1966</v>
      </c>
      <c r="B37">
        <f>'Granger 1'!B37-'Granger 1'!B36</f>
        <v>-1099</v>
      </c>
      <c r="C37">
        <f>'Granger 1'!C37-'Granger 1'!C36</f>
        <v>66</v>
      </c>
      <c r="E37" s="14">
        <f t="shared" si="1741"/>
        <v>-3062</v>
      </c>
      <c r="F37" s="14">
        <f t="shared" si="1743"/>
        <v>-3588</v>
      </c>
      <c r="G37" s="14">
        <f t="shared" si="1745"/>
        <v>35727</v>
      </c>
      <c r="H37" s="14">
        <f t="shared" si="1747"/>
        <v>-1099</v>
      </c>
      <c r="I37" s="14">
        <f t="shared" si="1742"/>
        <v>-148</v>
      </c>
      <c r="J37" s="14">
        <f t="shared" si="1744"/>
        <v>-59</v>
      </c>
      <c r="K37" s="14">
        <f t="shared" si="1746"/>
        <v>296</v>
      </c>
      <c r="L37" s="14">
        <f t="shared" si="1748"/>
        <v>66</v>
      </c>
      <c r="M37" s="14">
        <f t="shared" si="1740"/>
        <v>75</v>
      </c>
    </row>
    <row r="38">
      <c r="A38">
        <v>1967</v>
      </c>
      <c r="B38">
        <f>'Granger 1'!B38-'Granger 1'!B37</f>
        <v>35727</v>
      </c>
      <c r="C38">
        <f>'Granger 1'!C38-'Granger 1'!C37</f>
        <v>296</v>
      </c>
    </row>
    <row r="39">
      <c r="A39">
        <v>1968</v>
      </c>
      <c r="B39">
        <f>'Granger 1'!B39-'Granger 1'!B38</f>
        <v>-3588</v>
      </c>
      <c r="C39">
        <f>'Granger 1'!C39-'Granger 1'!C38</f>
        <v>-59</v>
      </c>
    </row>
    <row r="40">
      <c r="A40">
        <v>1969</v>
      </c>
      <c r="B40">
        <f>'Granger 1'!B40-'Granger 1'!B39</f>
        <v>-3062</v>
      </c>
      <c r="C40">
        <f>'Granger 1'!C40-'Granger 1'!C39</f>
        <v>-148</v>
      </c>
    </row>
    <row r="41">
      <c r="A41" s="14">
        <v>1970</v>
      </c>
      <c r="B41" s="14">
        <f>'Granger 1'!B41-'Granger 1'!B40</f>
        <v>11184</v>
      </c>
      <c r="C41" s="14">
        <f>'Granger 1'!C41-'Granger 1'!C40</f>
        <v>75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9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11.178571"/>
    <col customWidth="1" min="2" max="3" style="37" width="7.4553570000000002"/>
    <col customWidth="1" min="5" max="5" width="10.267856999999999"/>
    <col customWidth="1" min="10" max="10" width="4.2678570000000002"/>
    <col customWidth="1" min="11" max="11" width="12"/>
    <col customWidth="1" min="15" max="15" width="6.2678570000000002"/>
    <col customWidth="1" min="16" max="16" width="9.7232140000000005"/>
    <col customWidth="1" min="19" max="19" width="3.1785709999999998"/>
    <col customWidth="1" min="20" max="20" width="33.544643000000001"/>
  </cols>
  <sheetData>
    <row r="1">
      <c r="A1" s="17" t="s">
        <v>276</v>
      </c>
      <c r="B1" s="77" t="s">
        <v>639</v>
      </c>
      <c r="C1" s="77" t="s">
        <v>640</v>
      </c>
      <c r="E1" t="s">
        <v>641</v>
      </c>
      <c r="K1" t="s">
        <v>164</v>
      </c>
      <c r="N1" s="17" t="s">
        <v>642</v>
      </c>
      <c r="Q1" s="15" t="s">
        <v>643</v>
      </c>
      <c r="R1" s="15" t="s">
        <v>644</v>
      </c>
    </row>
    <row r="2">
      <c r="A2" s="78">
        <v>39815</v>
      </c>
      <c r="B2" s="37">
        <v>46.170000000000002</v>
      </c>
      <c r="C2" s="37">
        <v>42.939999999999998</v>
      </c>
      <c r="N2">
        <f t="array" ref="N2:N505">C2:C505-TREND(C2:C505,B2:B505)</f>
        <v>-4.0552017370372999</v>
      </c>
      <c r="P2" t="e">
        <v>#NAME?</v>
      </c>
      <c r="Q2" s="5" t="e">
        <v>#NAME?</v>
      </c>
      <c r="R2" s="6" t="e">
        <f>Q2</f>
        <v>#NAME?</v>
      </c>
      <c r="T2" t="e">
        <v>#NAME?</v>
      </c>
    </row>
    <row r="3">
      <c r="A3" s="78">
        <v>39818</v>
      </c>
      <c r="B3" s="37">
        <v>48.609999999999999</v>
      </c>
      <c r="C3" s="37">
        <v>45.840000000000003</v>
      </c>
      <c r="F3" s="31" t="s">
        <v>645</v>
      </c>
      <c r="G3" s="31" t="s">
        <v>646</v>
      </c>
      <c r="H3" s="31" t="s">
        <v>647</v>
      </c>
      <c r="I3" s="31" t="s">
        <v>648</v>
      </c>
      <c r="K3" t="s">
        <v>203</v>
      </c>
      <c r="L3" s="7">
        <v>5.0000000000000003e-02</v>
      </c>
      <c r="N3">
        <f/>
        <v>-3.5092885112511998</v>
      </c>
      <c r="P3" t="e">
        <v>#NAME?</v>
      </c>
      <c r="Q3" s="8" t="e">
        <v>#NAME?</v>
      </c>
      <c r="R3" s="9" t="e">
        <v>#NAME?</v>
      </c>
      <c r="T3" t="e">
        <v>#NAME?</v>
      </c>
    </row>
    <row r="4">
      <c r="A4" s="78">
        <v>39819</v>
      </c>
      <c r="B4" s="37">
        <v>48.560000000000002</v>
      </c>
      <c r="C4" s="37">
        <v>48.890000000000001</v>
      </c>
      <c r="E4" t="e">
        <v>#NAME?</v>
      </c>
      <c r="F4" s="5" t="e">
        <v>#NAME?</v>
      </c>
      <c r="G4" s="42" t="e">
        <v>#NAME?</v>
      </c>
      <c r="H4" s="42" t="e">
        <v>#NAME?</v>
      </c>
      <c r="I4" s="6" t="e">
        <v>#NAME?</v>
      </c>
      <c r="K4" t="s">
        <v>649</v>
      </c>
      <c r="L4" s="10">
        <v>2</v>
      </c>
      <c r="N4">
        <f/>
        <v>-0.41104902817299693</v>
      </c>
      <c r="P4" t="e">
        <v>#NAME?</v>
      </c>
      <c r="Q4" s="79" t="e">
        <v>#NAME?</v>
      </c>
      <c r="R4" s="80" t="e">
        <f>IF(R2&lt;R3,"yes","no")</f>
        <v>#NAME?</v>
      </c>
      <c r="T4" t="e">
        <v>#NAME?</v>
      </c>
    </row>
    <row r="5">
      <c r="A5" s="78">
        <v>39820</v>
      </c>
      <c r="B5" s="37">
        <v>42.75</v>
      </c>
      <c r="C5" s="37">
        <v>46.229999999999997</v>
      </c>
      <c r="E5" t="e">
        <v>#NAME?</v>
      </c>
      <c r="F5" s="8" t="e">
        <v>#NAME?</v>
      </c>
      <c r="G5" t="e">
        <v>#NAME?</v>
      </c>
      <c r="H5" t="e">
        <v>#NAME?</v>
      </c>
      <c r="I5" s="9" t="e">
        <v>#NAME?</v>
      </c>
      <c r="K5" t="s">
        <v>403</v>
      </c>
      <c r="L5" s="10">
        <v>8</v>
      </c>
      <c r="N5">
        <f/>
        <v>2.5343789055084001</v>
      </c>
      <c r="P5" t="e">
        <v>#NAME?</v>
      </c>
      <c r="Q5" s="8" t="e">
        <v>#NAME?</v>
      </c>
      <c r="R5" s="9"/>
      <c r="T5" t="e">
        <v>#NAME?</v>
      </c>
    </row>
    <row r="6">
      <c r="A6" s="78">
        <v>39821</v>
      </c>
      <c r="B6" s="37">
        <v>41.68</v>
      </c>
      <c r="C6" s="37">
        <v>42.939999999999998</v>
      </c>
      <c r="E6" t="e">
        <v>#NAME?</v>
      </c>
      <c r="F6" s="79" t="e">
        <v>#NAME?</v>
      </c>
      <c r="G6" s="31" t="e">
        <v>#NAME?</v>
      </c>
      <c r="H6" s="31" t="e">
        <v>#NAME?</v>
      </c>
      <c r="I6" s="80" t="e">
        <v>#NAME?</v>
      </c>
      <c r="K6" s="54" t="s">
        <v>359</v>
      </c>
      <c r="L6" s="21" t="s">
        <v>372</v>
      </c>
      <c r="N6">
        <f/>
        <v>0.27670384338080101</v>
      </c>
      <c r="P6" t="e">
        <v>#NAME?</v>
      </c>
      <c r="Q6" s="8" t="e">
        <v>#NAME?</v>
      </c>
      <c r="R6" s="9"/>
      <c r="T6" t="e">
        <v>#NAME?</v>
      </c>
    </row>
    <row r="7">
      <c r="A7" s="78">
        <v>39822</v>
      </c>
      <c r="B7" s="37">
        <v>40.689999999999998</v>
      </c>
      <c r="C7" s="37">
        <v>42.340000000000003</v>
      </c>
      <c r="E7" t="e">
        <v>#NAME?</v>
      </c>
      <c r="F7" s="8" t="e">
        <v>#NAME?</v>
      </c>
      <c r="G7" t="e">
        <v>#NAME?</v>
      </c>
      <c r="H7" t="e">
        <v>#NAME?</v>
      </c>
      <c r="I7" s="9" t="e">
        <v>#NAME?</v>
      </c>
      <c r="N7">
        <f/>
        <v>0.63184560832830505</v>
      </c>
      <c r="P7" t="e">
        <v>#NAME?</v>
      </c>
      <c r="Q7" s="8" t="e">
        <v>#NAME?</v>
      </c>
      <c r="R7" s="9" t="e">
        <f>Q7</f>
        <v>#NAME?</v>
      </c>
      <c r="T7" t="e">
        <v>#NAME?</v>
      </c>
    </row>
    <row r="8">
      <c r="A8" s="78">
        <v>39825</v>
      </c>
      <c r="B8" s="37">
        <v>37.649999999999999</v>
      </c>
      <c r="C8" s="37">
        <v>40.859999999999999</v>
      </c>
      <c r="E8" t="e">
        <v>#NAME?</v>
      </c>
      <c r="F8" s="8" t="e">
        <v>#NAME?</v>
      </c>
      <c r="G8" t="e">
        <v>#NAME?</v>
      </c>
      <c r="H8" t="e">
        <v>#NAME?</v>
      </c>
      <c r="I8" s="9" t="e">
        <v>#NAME?</v>
      </c>
      <c r="K8" t="e">
        <v>#NAME?</v>
      </c>
      <c r="L8" s="7" t="e">
        <v>#NAME?</v>
      </c>
      <c r="N8">
        <f/>
        <v>2.0848061794800001</v>
      </c>
      <c r="P8" t="e">
        <v>#NAME?</v>
      </c>
      <c r="Q8" s="8" t="e">
        <v>#NAME?</v>
      </c>
      <c r="R8" s="9"/>
      <c r="T8" t="e">
        <v>#NAME?</v>
      </c>
    </row>
    <row r="9">
      <c r="A9" s="78">
        <v>39826</v>
      </c>
      <c r="B9" s="37">
        <v>37.770000000000003</v>
      </c>
      <c r="C9" s="37">
        <v>43.049999999999997</v>
      </c>
      <c r="E9" t="e">
        <v>#NAME?</v>
      </c>
      <c r="F9" s="8" t="e">
        <v>#NAME?</v>
      </c>
      <c r="G9" t="e">
        <v>#NAME?</v>
      </c>
      <c r="H9" t="e">
        <v>#NAME?</v>
      </c>
      <c r="I9" s="9" t="e">
        <v>#NAME?</v>
      </c>
      <c r="K9" t="e">
        <v>#NAME?</v>
      </c>
      <c r="L9" s="10" t="e">
        <v>#NAME?</v>
      </c>
      <c r="N9">
        <f/>
        <v>4.1590314200923997</v>
      </c>
      <c r="P9" t="e">
        <v>#NAME?</v>
      </c>
      <c r="Q9" s="81" t="e">
        <v>#NAME?</v>
      </c>
      <c r="R9" s="12" t="e">
        <v>#NAME?</v>
      </c>
      <c r="T9" t="e">
        <v>#NAME?</v>
      </c>
    </row>
    <row r="10">
      <c r="A10" s="78">
        <v>39827</v>
      </c>
      <c r="B10" s="37">
        <v>37.43</v>
      </c>
      <c r="C10" s="37">
        <v>42.270000000000003</v>
      </c>
      <c r="E10" t="e">
        <v>#NAME?</v>
      </c>
      <c r="F10" s="8" t="e">
        <v>#NAME?</v>
      </c>
      <c r="G10" t="e">
        <v>#NAME?</v>
      </c>
      <c r="H10" t="e">
        <v>#NAME?</v>
      </c>
      <c r="I10" s="9" t="e">
        <v>#NAME?</v>
      </c>
      <c r="K10" t="e">
        <v>#NAME?</v>
      </c>
      <c r="L10" s="44" t="e">
        <v>#NAME?</v>
      </c>
      <c r="N10">
        <f/>
        <v>3.7070599050238999</v>
      </c>
    </row>
    <row r="11">
      <c r="A11" s="78">
        <v>39828</v>
      </c>
      <c r="B11" s="37">
        <v>35.409999999999997</v>
      </c>
      <c r="C11" s="37">
        <v>42.32</v>
      </c>
      <c r="E11" t="e">
        <v>#NAME?</v>
      </c>
      <c r="F11" s="81" t="e">
        <v>#NAME?</v>
      </c>
      <c r="G11" s="32" t="e">
        <v>#NAME?</v>
      </c>
      <c r="H11" s="32" t="e">
        <v>#NAME?</v>
      </c>
      <c r="I11" s="82" t="e">
        <v>#NAME?</v>
      </c>
      <c r="K11" t="e">
        <v>#NAME?</v>
      </c>
      <c r="L11" s="10" t="e">
        <v>#NAME?</v>
      </c>
      <c r="N11">
        <f/>
        <v>5.7059350213812001</v>
      </c>
    </row>
    <row r="12">
      <c r="A12" s="78">
        <v>39829</v>
      </c>
      <c r="B12" s="37">
        <v>35.380000000000003</v>
      </c>
      <c r="C12" s="37">
        <v>43.420000000000002</v>
      </c>
      <c r="K12" t="e">
        <v>#NAME?</v>
      </c>
      <c r="L12" s="21" t="e">
        <v>#NAME?</v>
      </c>
      <c r="N12">
        <f/>
        <v>6.8348787112281002</v>
      </c>
    </row>
    <row r="13">
      <c r="A13" s="78">
        <v>39833</v>
      </c>
      <c r="B13" s="37">
        <v>38.57</v>
      </c>
      <c r="C13" s="37">
        <v>41.219999999999999</v>
      </c>
      <c r="N13">
        <f/>
        <v>1.5571996908420001</v>
      </c>
    </row>
    <row r="14">
      <c r="A14" s="78">
        <v>39834</v>
      </c>
      <c r="B14" s="37">
        <v>42.560000000000002</v>
      </c>
      <c r="C14" s="37">
        <v>39.899999999999999</v>
      </c>
      <c r="N14">
        <f/>
        <v>-3.6123110587946998</v>
      </c>
    </row>
    <row r="15">
      <c r="A15" s="78">
        <v>39835</v>
      </c>
      <c r="B15" s="37">
        <v>42.329999999999998</v>
      </c>
      <c r="C15" s="37">
        <v>42.420000000000002</v>
      </c>
      <c r="N15">
        <f/>
        <v>-0.87040943663509984</v>
      </c>
    </row>
    <row r="16">
      <c r="A16" s="78">
        <v>39836</v>
      </c>
      <c r="B16" s="37">
        <v>45.119999999999997</v>
      </c>
      <c r="C16" s="37">
        <v>43.130000000000003</v>
      </c>
      <c r="N16">
        <f/>
        <v>-2.8521725923960899</v>
      </c>
    </row>
    <row r="17">
      <c r="A17" s="78">
        <v>39839</v>
      </c>
      <c r="B17" s="37">
        <v>46.5</v>
      </c>
      <c r="C17" s="37">
        <v>48</v>
      </c>
      <c r="N17">
        <f/>
        <v>0.68641767464689696</v>
      </c>
    </row>
    <row r="18">
      <c r="A18" s="78">
        <v>39840</v>
      </c>
      <c r="B18" s="37">
        <v>41.670000000000002</v>
      </c>
      <c r="C18" s="37">
        <v>42.859999999999999</v>
      </c>
      <c r="N18">
        <f/>
        <v>0.206351739996499</v>
      </c>
    </row>
    <row r="19">
      <c r="A19" s="78">
        <v>39841</v>
      </c>
      <c r="B19" s="37">
        <v>42.039999999999999</v>
      </c>
      <c r="C19" s="37">
        <v>42.859999999999999</v>
      </c>
      <c r="N19">
        <f/>
        <v>-0.15062043478189899</v>
      </c>
    </row>
    <row r="20">
      <c r="A20" s="78">
        <v>39842</v>
      </c>
      <c r="B20" s="37">
        <v>41.579999999999998</v>
      </c>
      <c r="C20" s="37">
        <v>43.130000000000003</v>
      </c>
      <c r="N20">
        <f/>
        <v>0.56318280953720301</v>
      </c>
    </row>
    <row r="21">
      <c r="A21" s="78">
        <v>39843</v>
      </c>
      <c r="B21" s="37">
        <v>41.729999999999997</v>
      </c>
      <c r="C21" s="37">
        <v>44.170000000000002</v>
      </c>
      <c r="N21">
        <f/>
        <v>1.4584643603027001</v>
      </c>
    </row>
    <row r="22">
      <c r="A22" s="78">
        <v>39846</v>
      </c>
      <c r="B22" s="37">
        <v>41.350000000000001</v>
      </c>
      <c r="C22" s="37">
        <v>42.960000000000001</v>
      </c>
      <c r="N22">
        <f/>
        <v>0.61508443169670102</v>
      </c>
    </row>
    <row r="23">
      <c r="A23" s="78">
        <v>39847</v>
      </c>
      <c r="B23" s="37">
        <v>40.869999999999997</v>
      </c>
      <c r="C23" s="37">
        <v>43.149999999999999</v>
      </c>
      <c r="N23">
        <f/>
        <v>1.2681834692469001</v>
      </c>
    </row>
    <row r="24">
      <c r="A24" s="78">
        <v>39848</v>
      </c>
      <c r="B24" s="37">
        <v>40.270000000000003</v>
      </c>
      <c r="C24" s="37">
        <v>43.68</v>
      </c>
      <c r="N24">
        <f/>
        <v>2.3770572661848002</v>
      </c>
    </row>
    <row r="25">
      <c r="A25" s="78">
        <v>39849</v>
      </c>
      <c r="B25" s="37">
        <v>41.149999999999999</v>
      </c>
      <c r="C25" s="37">
        <v>43.920000000000002</v>
      </c>
      <c r="N25">
        <f/>
        <v>1.7680423640092999</v>
      </c>
    </row>
    <row r="26">
      <c r="A26" s="78">
        <v>39850</v>
      </c>
      <c r="B26" s="37">
        <v>40.240000000000002</v>
      </c>
      <c r="C26" s="37">
        <v>44.490000000000002</v>
      </c>
      <c r="N26">
        <f/>
        <v>3.2160009560315999</v>
      </c>
    </row>
    <row r="27">
      <c r="A27" s="78">
        <v>39853</v>
      </c>
      <c r="B27" s="37">
        <v>39.579999999999998</v>
      </c>
      <c r="C27" s="37">
        <v>47.229999999999997</v>
      </c>
      <c r="N27">
        <f/>
        <v>6.5927621326633004</v>
      </c>
    </row>
    <row r="28">
      <c r="A28" s="78">
        <v>39854</v>
      </c>
      <c r="B28" s="37">
        <v>37.539999999999999</v>
      </c>
      <c r="C28" s="37">
        <v>45.880000000000003</v>
      </c>
      <c r="N28">
        <f/>
        <v>7.2109330422518996</v>
      </c>
    </row>
    <row r="29">
      <c r="A29" s="78">
        <v>39855</v>
      </c>
      <c r="B29" s="37">
        <v>35.93</v>
      </c>
      <c r="C29" s="37">
        <v>44.240000000000002</v>
      </c>
      <c r="N29">
        <f/>
        <v>7.1242443973684004</v>
      </c>
    </row>
    <row r="30">
      <c r="A30" s="78">
        <v>39856</v>
      </c>
      <c r="B30" s="37">
        <v>34.030000000000001</v>
      </c>
      <c r="C30" s="37">
        <v>47.229999999999997</v>
      </c>
      <c r="N30">
        <f/>
        <v>11.9473447543383</v>
      </c>
    </row>
    <row r="31">
      <c r="A31" s="78">
        <v>39857</v>
      </c>
      <c r="B31" s="37">
        <v>37.630000000000003</v>
      </c>
      <c r="C31" s="37">
        <v>43.359999999999999</v>
      </c>
      <c r="N31">
        <f/>
        <v>4.6041019727111996</v>
      </c>
    </row>
    <row r="32">
      <c r="A32" s="78">
        <v>39861</v>
      </c>
      <c r="B32" s="37">
        <v>34.960000000000001</v>
      </c>
      <c r="C32" s="37">
        <v>39.689999999999998</v>
      </c>
      <c r="N32">
        <f/>
        <v>3.5100903690846001</v>
      </c>
    </row>
    <row r="33">
      <c r="A33" s="78">
        <v>39862</v>
      </c>
      <c r="B33" s="37">
        <v>34.670000000000002</v>
      </c>
      <c r="C33" s="37">
        <v>39.409999999999997</v>
      </c>
      <c r="N33">
        <f/>
        <v>3.5098793709379001</v>
      </c>
    </row>
    <row r="34">
      <c r="A34" s="78">
        <v>39863</v>
      </c>
      <c r="B34" s="37">
        <v>39.600000000000001</v>
      </c>
      <c r="C34" s="37">
        <v>42.359999999999999</v>
      </c>
      <c r="N34">
        <f/>
        <v>1.703466339432</v>
      </c>
    </row>
    <row r="35">
      <c r="A35" s="78">
        <v>39864</v>
      </c>
      <c r="B35" s="37">
        <v>39.350000000000001</v>
      </c>
      <c r="C35" s="37">
        <v>42.189999999999998</v>
      </c>
      <c r="N35">
        <f/>
        <v>1.7746637548227999</v>
      </c>
    </row>
    <row r="36">
      <c r="A36" s="78">
        <v>39867</v>
      </c>
      <c r="B36" s="37">
        <v>37.659999999999997</v>
      </c>
      <c r="C36" s="37">
        <v>41.270000000000003</v>
      </c>
      <c r="N36">
        <f/>
        <v>2.4851582828644001</v>
      </c>
    </row>
    <row r="37">
      <c r="A37" s="78">
        <v>39868</v>
      </c>
      <c r="B37" s="37">
        <v>38.859999999999999</v>
      </c>
      <c r="C37" s="37">
        <v>40.18</v>
      </c>
      <c r="N37">
        <f/>
        <v>0.23741068898870302</v>
      </c>
    </row>
    <row r="38">
      <c r="A38" s="78">
        <v>39869</v>
      </c>
      <c r="B38" s="37">
        <v>41.640000000000001</v>
      </c>
      <c r="C38" s="37">
        <v>42.369999999999997</v>
      </c>
      <c r="N38">
        <f/>
        <v>-0.25470457015660503</v>
      </c>
    </row>
    <row r="39">
      <c r="A39" s="78">
        <v>39870</v>
      </c>
      <c r="B39" s="37">
        <v>43.18</v>
      </c>
      <c r="C39" s="37">
        <v>45.149999999999999</v>
      </c>
      <c r="N39">
        <f/>
        <v>1.0395193510363001</v>
      </c>
    </row>
    <row r="40">
      <c r="A40" s="78">
        <v>39871</v>
      </c>
      <c r="B40" s="37">
        <v>44.149999999999999</v>
      </c>
      <c r="C40" s="37">
        <v>44.409999999999997</v>
      </c>
      <c r="N40">
        <f/>
        <v>-0.63632662067990298</v>
      </c>
    </row>
    <row r="41">
      <c r="A41" s="78">
        <v>39874</v>
      </c>
      <c r="B41" s="37">
        <v>40.07</v>
      </c>
      <c r="C41" s="37">
        <v>42.600000000000001</v>
      </c>
      <c r="N41">
        <f/>
        <v>1.4900151984973999</v>
      </c>
    </row>
    <row r="42">
      <c r="A42" s="78">
        <v>39875</v>
      </c>
      <c r="B42" s="37">
        <v>41.57</v>
      </c>
      <c r="C42" s="37">
        <v>42.719999999999999</v>
      </c>
      <c r="N42">
        <f/>
        <v>0.16283070615279599</v>
      </c>
    </row>
    <row r="43">
      <c r="A43" s="78">
        <v>39876</v>
      </c>
      <c r="B43" s="37">
        <v>45.280000000000001</v>
      </c>
      <c r="C43" s="37">
        <v>46.07</v>
      </c>
      <c r="N43">
        <f/>
        <v>-6.6538938246196999e-02</v>
      </c>
    </row>
    <row r="44">
      <c r="A44" s="78">
        <v>39877</v>
      </c>
      <c r="B44" s="37">
        <v>43.539999999999999</v>
      </c>
      <c r="C44" s="37">
        <v>44.450000000000003</v>
      </c>
      <c r="N44">
        <f/>
        <v>-7.8049271264010005e-03</v>
      </c>
    </row>
    <row r="45">
      <c r="A45" s="78">
        <v>39878</v>
      </c>
      <c r="B45" s="37">
        <v>45.43</v>
      </c>
      <c r="C45" s="37">
        <v>43.479999999999997</v>
      </c>
      <c r="N45">
        <f/>
        <v>-2.8012573874806002</v>
      </c>
    </row>
    <row r="46">
      <c r="A46" s="78">
        <v>39881</v>
      </c>
      <c r="B46" s="37">
        <v>47.009999999999998</v>
      </c>
      <c r="C46" s="37">
        <v>44.549999999999997</v>
      </c>
      <c r="N46">
        <f/>
        <v>-3.2556250527502999</v>
      </c>
    </row>
    <row r="47">
      <c r="A47" s="78">
        <v>39882</v>
      </c>
      <c r="B47" s="37">
        <v>45.68</v>
      </c>
      <c r="C47" s="37">
        <v>44.990000000000002</v>
      </c>
      <c r="N47">
        <f/>
        <v>-1.5324548028714</v>
      </c>
    </row>
    <row r="48">
      <c r="A48" s="78">
        <v>39883</v>
      </c>
      <c r="B48" s="37">
        <v>42.460000000000001</v>
      </c>
      <c r="C48" s="37">
        <v>43.200000000000003</v>
      </c>
      <c r="N48">
        <f/>
        <v>-0.215832092638294</v>
      </c>
    </row>
    <row r="49">
      <c r="A49" s="78">
        <v>39884</v>
      </c>
      <c r="B49" s="37">
        <v>46.909999999999997</v>
      </c>
      <c r="C49" s="37">
        <v>42.189999999999998</v>
      </c>
      <c r="N49">
        <f/>
        <v>-5.5191460865939996</v>
      </c>
    </row>
    <row r="50">
      <c r="A50" s="78">
        <v>39885</v>
      </c>
      <c r="B50" s="37">
        <v>46.219999999999999</v>
      </c>
      <c r="C50" s="37">
        <v>44.969999999999999</v>
      </c>
      <c r="N50">
        <f/>
        <v>-2.0734412201154</v>
      </c>
    </row>
    <row r="51">
      <c r="A51" s="78">
        <v>39888</v>
      </c>
      <c r="B51" s="37">
        <v>47.329999999999998</v>
      </c>
      <c r="C51" s="37">
        <v>44.119999999999997</v>
      </c>
      <c r="N51">
        <f/>
        <v>-3.9943577444503999</v>
      </c>
    </row>
    <row r="52">
      <c r="A52" s="78">
        <v>39889</v>
      </c>
      <c r="B52" s="37">
        <v>48.969999999999999</v>
      </c>
      <c r="C52" s="37">
        <v>45.530000000000001</v>
      </c>
      <c r="N52">
        <f/>
        <v>-4.1666127894139002</v>
      </c>
    </row>
    <row r="53">
      <c r="A53" s="78">
        <v>39890</v>
      </c>
      <c r="B53" s="37">
        <v>48.119999999999997</v>
      </c>
      <c r="C53" s="37">
        <v>45.219999999999999</v>
      </c>
      <c r="N53">
        <f/>
        <v>-3.6565415770852998</v>
      </c>
    </row>
    <row r="54">
      <c r="A54" s="78">
        <v>39891</v>
      </c>
      <c r="B54" s="37">
        <v>51.460000000000001</v>
      </c>
      <c r="C54" s="37">
        <v>48.030000000000001</v>
      </c>
      <c r="N54">
        <f/>
        <v>-4.0689390467058999</v>
      </c>
    </row>
    <row r="55">
      <c r="A55" s="78">
        <v>39892</v>
      </c>
      <c r="B55" s="37">
        <v>51.549999999999997</v>
      </c>
      <c r="C55" s="37">
        <v>49.270000000000003</v>
      </c>
      <c r="N55">
        <f/>
        <v>-2.9157701162466001</v>
      </c>
    </row>
    <row r="56">
      <c r="A56" s="78">
        <v>39895</v>
      </c>
      <c r="B56" s="37">
        <v>53.049999999999997</v>
      </c>
      <c r="C56" s="37">
        <v>51.840000000000003</v>
      </c>
      <c r="N56">
        <f/>
        <v>-1.7929546085910999</v>
      </c>
    </row>
    <row r="57">
      <c r="A57" s="78">
        <v>39896</v>
      </c>
      <c r="B57" s="37">
        <v>53.359999999999999</v>
      </c>
      <c r="C57" s="37">
        <v>51.32</v>
      </c>
      <c r="N57">
        <f/>
        <v>-2.6120394036757002</v>
      </c>
    </row>
    <row r="58">
      <c r="A58" s="78">
        <v>39897</v>
      </c>
      <c r="B58" s="37">
        <v>52.240000000000002</v>
      </c>
      <c r="C58" s="37">
        <v>51.460000000000001</v>
      </c>
      <c r="N58">
        <f/>
        <v>-1.3914749827251001</v>
      </c>
    </row>
    <row r="59">
      <c r="A59" s="78">
        <v>39898</v>
      </c>
      <c r="B59" s="37">
        <v>53.869999999999997</v>
      </c>
      <c r="C59" s="37">
        <v>51.890000000000001</v>
      </c>
      <c r="N59">
        <f/>
        <v>-2.5340821310728998</v>
      </c>
    </row>
    <row r="60">
      <c r="A60" s="78">
        <v>39899</v>
      </c>
      <c r="B60" s="37">
        <v>52.409999999999997</v>
      </c>
      <c r="C60" s="37">
        <v>50.810000000000002</v>
      </c>
      <c r="N60">
        <f/>
        <v>-2.2054892251907998</v>
      </c>
    </row>
    <row r="61">
      <c r="A61" s="78">
        <v>39902</v>
      </c>
      <c r="B61" s="37">
        <v>48.490000000000002</v>
      </c>
      <c r="C61" s="37">
        <v>49.049999999999997</v>
      </c>
      <c r="N61">
        <f/>
        <v>-0.18351375186359997</v>
      </c>
    </row>
    <row r="62">
      <c r="A62" s="78">
        <v>39903</v>
      </c>
      <c r="B62" s="37">
        <v>49.640000000000001</v>
      </c>
      <c r="C62" s="37">
        <v>46.130000000000003</v>
      </c>
      <c r="N62">
        <f/>
        <v>-4.2130218626610896</v>
      </c>
    </row>
    <row r="63">
      <c r="A63" s="78">
        <v>39904</v>
      </c>
      <c r="B63" s="37">
        <v>48.460000000000001</v>
      </c>
      <c r="C63" s="37">
        <v>45.920000000000002</v>
      </c>
      <c r="N63">
        <f/>
        <v>-3.2845700620167002</v>
      </c>
    </row>
    <row r="64">
      <c r="A64" s="78">
        <v>39905</v>
      </c>
      <c r="B64" s="37">
        <v>52.609999999999999</v>
      </c>
      <c r="C64" s="37">
        <v>50.890000000000001</v>
      </c>
      <c r="N64">
        <f/>
        <v>-2.3184471575034</v>
      </c>
    </row>
    <row r="65">
      <c r="A65" s="78">
        <v>39906</v>
      </c>
      <c r="B65" s="37">
        <v>52.520000000000003</v>
      </c>
      <c r="C65" s="37">
        <v>50.479999999999997</v>
      </c>
      <c r="N65">
        <f/>
        <v>-2.6416160879627002</v>
      </c>
    </row>
    <row r="66">
      <c r="A66" s="78">
        <v>39909</v>
      </c>
      <c r="B66" s="37">
        <v>51.100000000000001</v>
      </c>
      <c r="C66" s="37">
        <v>50.909999999999997</v>
      </c>
      <c r="N66">
        <f/>
        <v>-0.84161476854320205</v>
      </c>
    </row>
    <row r="67">
      <c r="A67" s="78">
        <v>39910</v>
      </c>
      <c r="B67" s="37">
        <v>49.130000000000003</v>
      </c>
      <c r="C67" s="37">
        <v>50.619999999999997</v>
      </c>
      <c r="N67">
        <f/>
        <v>0.76902086473599995</v>
      </c>
    </row>
    <row r="68">
      <c r="A68" s="78">
        <v>39911</v>
      </c>
      <c r="B68" s="37">
        <v>49.369999999999997</v>
      </c>
      <c r="C68" s="37">
        <v>52.060000000000002</v>
      </c>
      <c r="N68">
        <f/>
        <v>1.9774713459608999</v>
      </c>
    </row>
    <row r="69">
      <c r="A69" s="78">
        <v>39912</v>
      </c>
      <c r="B69" s="37">
        <v>52.240000000000002</v>
      </c>
      <c r="C69" s="37">
        <v>52.329999999999998</v>
      </c>
      <c r="N69">
        <f/>
        <v>-0.52147498272510295</v>
      </c>
    </row>
    <row r="70">
      <c r="A70" s="78">
        <v>39916</v>
      </c>
      <c r="B70" s="37">
        <v>50.219999999999999</v>
      </c>
      <c r="C70" s="37">
        <v>50.729999999999997</v>
      </c>
      <c r="N70">
        <f/>
        <v>-0.172599866367705</v>
      </c>
    </row>
    <row r="71">
      <c r="A71" s="78">
        <v>39917</v>
      </c>
      <c r="B71" s="37">
        <v>49.509999999999998</v>
      </c>
      <c r="C71" s="37">
        <v>52.060000000000002</v>
      </c>
      <c r="N71">
        <f/>
        <v>1.8424007933421001</v>
      </c>
    </row>
    <row r="72">
      <c r="A72" s="78">
        <v>39918</v>
      </c>
      <c r="B72" s="37">
        <v>49.259999999999998</v>
      </c>
      <c r="C72" s="37">
        <v>51.310000000000002</v>
      </c>
      <c r="N72">
        <f/>
        <v>1.3335982087328999</v>
      </c>
    </row>
    <row r="73">
      <c r="A73" s="78">
        <v>39919</v>
      </c>
      <c r="B73" s="37">
        <v>49.969999999999999</v>
      </c>
      <c r="C73" s="37">
        <v>51.829999999999998</v>
      </c>
      <c r="N73">
        <f/>
        <v>1.1685975490231</v>
      </c>
    </row>
    <row r="74">
      <c r="A74" s="78">
        <v>39920</v>
      </c>
      <c r="B74" s="37">
        <v>50.359999999999999</v>
      </c>
      <c r="C74" s="37">
        <v>52.020000000000003</v>
      </c>
      <c r="N74">
        <f/>
        <v>0.98232958101350198</v>
      </c>
    </row>
    <row r="75">
      <c r="A75" s="78">
        <v>39923</v>
      </c>
      <c r="B75" s="37">
        <v>45.82</v>
      </c>
      <c r="C75" s="37">
        <v>49.060000000000002</v>
      </c>
      <c r="N75">
        <f/>
        <v>2.4024746445098</v>
      </c>
    </row>
    <row r="76">
      <c r="A76" s="78">
        <v>39924</v>
      </c>
      <c r="B76" s="37">
        <v>46.649999999999999</v>
      </c>
      <c r="C76" s="37">
        <v>48.689999999999998</v>
      </c>
      <c r="N76">
        <f/>
        <v>1.2316992254124</v>
      </c>
    </row>
    <row r="77">
      <c r="A77" s="78">
        <v>39925</v>
      </c>
      <c r="B77" s="37">
        <v>47.409999999999997</v>
      </c>
      <c r="C77" s="37">
        <v>48.5</v>
      </c>
      <c r="N77">
        <f/>
        <v>0.308459082624502</v>
      </c>
    </row>
    <row r="78">
      <c r="A78" s="78">
        <v>39926</v>
      </c>
      <c r="B78" s="37">
        <v>48.460000000000001</v>
      </c>
      <c r="C78" s="37">
        <v>48.289999999999999</v>
      </c>
      <c r="N78">
        <f/>
        <v>-0.91457006201670088</v>
      </c>
    </row>
    <row r="79">
      <c r="A79" s="78">
        <v>39927</v>
      </c>
      <c r="B79" s="37">
        <v>50.649999999999999</v>
      </c>
      <c r="C79" s="37">
        <v>50.289999999999999</v>
      </c>
      <c r="N79">
        <f/>
        <v>-1.0274594208398</v>
      </c>
    </row>
    <row r="80">
      <c r="A80" s="78">
        <v>39930</v>
      </c>
      <c r="B80" s="37">
        <v>49.289999999999999</v>
      </c>
      <c r="C80" s="37">
        <v>48.670000000000002</v>
      </c>
      <c r="N80">
        <f/>
        <v>-1.335345481114</v>
      </c>
    </row>
    <row r="81">
      <c r="A81" s="78">
        <v>39931</v>
      </c>
      <c r="B81" s="37">
        <v>49.009999999999998</v>
      </c>
      <c r="C81" s="37">
        <v>48.640000000000001</v>
      </c>
      <c r="N81">
        <f/>
        <v>-1.0952043758764001</v>
      </c>
    </row>
    <row r="82">
      <c r="A82" s="78">
        <v>39932</v>
      </c>
      <c r="B82" s="37">
        <v>50.189999999999998</v>
      </c>
      <c r="C82" s="37">
        <v>50.219999999999999</v>
      </c>
      <c r="N82">
        <f/>
        <v>-0.65365617652079799</v>
      </c>
    </row>
    <row r="83">
      <c r="A83" s="78">
        <v>39933</v>
      </c>
      <c r="B83" s="37">
        <v>50.350000000000001</v>
      </c>
      <c r="C83" s="37">
        <v>50.299999999999997</v>
      </c>
      <c r="N83">
        <f/>
        <v>-0.72802252237090004</v>
      </c>
    </row>
    <row r="84">
      <c r="A84" s="78">
        <v>39934</v>
      </c>
      <c r="B84" s="37">
        <v>52.18</v>
      </c>
      <c r="C84" s="37">
        <v>51.75</v>
      </c>
      <c r="N84">
        <f/>
        <v>-1.0435876030313</v>
      </c>
    </row>
    <row r="85">
      <c r="A85" s="78">
        <v>39937</v>
      </c>
      <c r="B85" s="37">
        <v>54.450000000000003</v>
      </c>
      <c r="C85" s="37">
        <v>53.259999999999998</v>
      </c>
      <c r="N85">
        <f/>
        <v>-1.7236601347794001</v>
      </c>
    </row>
    <row r="86">
      <c r="A86" s="78">
        <v>39938</v>
      </c>
      <c r="B86" s="37">
        <v>53.810000000000002</v>
      </c>
      <c r="C86" s="37">
        <v>53.159999999999997</v>
      </c>
      <c r="N86">
        <f/>
        <v>-1.2061947513791</v>
      </c>
    </row>
    <row r="87">
      <c r="A87" s="78">
        <v>39939</v>
      </c>
      <c r="B87" s="37">
        <v>56.289999999999999</v>
      </c>
      <c r="C87" s="37">
        <v>55.07</v>
      </c>
      <c r="N87">
        <f/>
        <v>-1.6888731120555001</v>
      </c>
    </row>
    <row r="88">
      <c r="A88" s="78">
        <v>39940</v>
      </c>
      <c r="B88" s="37">
        <v>56.670000000000002</v>
      </c>
      <c r="C88" s="37">
        <v>56.630000000000003</v>
      </c>
      <c r="N88">
        <f/>
        <v>-0.49549318344939797</v>
      </c>
    </row>
    <row r="89">
      <c r="A89" s="78">
        <v>39941</v>
      </c>
      <c r="B89" s="37">
        <v>58.579999999999998</v>
      </c>
      <c r="C89" s="37">
        <v>56.020000000000003</v>
      </c>
      <c r="N89">
        <f/>
        <v>-2.9482414370349002</v>
      </c>
    </row>
    <row r="90">
      <c r="A90" s="78">
        <v>39944</v>
      </c>
      <c r="B90" s="37">
        <v>57.789999999999999</v>
      </c>
      <c r="C90" s="37">
        <v>55.990000000000002</v>
      </c>
      <c r="N90">
        <f/>
        <v>-2.2160576044000999</v>
      </c>
    </row>
    <row r="91">
      <c r="A91" s="78">
        <v>39945</v>
      </c>
      <c r="B91" s="37">
        <v>58.810000000000002</v>
      </c>
      <c r="C91" s="37">
        <v>56.520000000000003</v>
      </c>
      <c r="N91">
        <f/>
        <v>-2.6701430591944</v>
      </c>
    </row>
    <row r="92">
      <c r="A92" s="78">
        <v>39946</v>
      </c>
      <c r="B92" s="37">
        <v>58</v>
      </c>
      <c r="C92" s="37">
        <v>56.840000000000003</v>
      </c>
      <c r="N92">
        <f/>
        <v>-1.5686634333283</v>
      </c>
    </row>
    <row r="93">
      <c r="A93" s="78">
        <v>39947</v>
      </c>
      <c r="B93" s="37">
        <v>58.579999999999998</v>
      </c>
      <c r="C93" s="37">
        <v>56.25</v>
      </c>
      <c r="N93">
        <f/>
        <v>-2.7182414370349002</v>
      </c>
    </row>
    <row r="94">
      <c r="A94" s="78">
        <v>39948</v>
      </c>
      <c r="B94" s="37">
        <v>56.520000000000003</v>
      </c>
      <c r="C94" s="37">
        <v>56.329999999999998</v>
      </c>
      <c r="N94">
        <f/>
        <v>-0.65077473421499799</v>
      </c>
    </row>
    <row r="95">
      <c r="A95" s="78">
        <v>39951</v>
      </c>
      <c r="B95" s="37">
        <v>58.990000000000002</v>
      </c>
      <c r="C95" s="37">
        <v>56.509999999999998</v>
      </c>
      <c r="N95">
        <f/>
        <v>-2.8538051982756998</v>
      </c>
    </row>
    <row r="96">
      <c r="A96" s="78">
        <v>39952</v>
      </c>
      <c r="B96" s="37">
        <v>59.520000000000003</v>
      </c>
      <c r="C96" s="37">
        <v>57.119999999999997</v>
      </c>
      <c r="N96">
        <f/>
        <v>-2.7551437189041001</v>
      </c>
    </row>
    <row r="97">
      <c r="A97" s="78">
        <v>39953</v>
      </c>
      <c r="B97" s="37">
        <v>61.450000000000003</v>
      </c>
      <c r="C97" s="37">
        <v>59.100000000000001</v>
      </c>
      <c r="N97">
        <f/>
        <v>-2.6371877657209</v>
      </c>
    </row>
    <row r="98">
      <c r="A98" s="78">
        <v>39954</v>
      </c>
      <c r="B98" s="37">
        <v>60.490000000000002</v>
      </c>
      <c r="C98" s="37">
        <v>58.020000000000003</v>
      </c>
      <c r="N98">
        <f/>
        <v>-2.7909896906202998</v>
      </c>
    </row>
    <row r="99">
      <c r="A99" s="78">
        <v>39955</v>
      </c>
      <c r="B99" s="37">
        <v>61.149999999999999</v>
      </c>
      <c r="C99" s="37">
        <v>58.700000000000003</v>
      </c>
      <c r="N99">
        <f/>
        <v>-2.7477508672519</v>
      </c>
    </row>
    <row r="100">
      <c r="A100" s="78">
        <v>39959</v>
      </c>
      <c r="B100" s="37">
        <v>62.479999999999997</v>
      </c>
      <c r="C100" s="37">
        <v>59.049999999999997</v>
      </c>
      <c r="N100">
        <f/>
        <v>-3.6809211171307998</v>
      </c>
    </row>
    <row r="101">
      <c r="A101" s="78">
        <v>39960</v>
      </c>
      <c r="B101" s="37">
        <v>63.409999999999997</v>
      </c>
      <c r="C101" s="37">
        <v>61.280000000000001</v>
      </c>
      <c r="N101">
        <f/>
        <v>-2.3481755023844002</v>
      </c>
    </row>
    <row r="102">
      <c r="A102" s="78">
        <v>39961</v>
      </c>
      <c r="B102" s="37">
        <v>65.090000000000003</v>
      </c>
      <c r="C102" s="37">
        <v>63.469999999999999</v>
      </c>
      <c r="N102">
        <f/>
        <v>-1.7790221338104</v>
      </c>
    </row>
    <row r="103">
      <c r="A103" s="78">
        <v>39962</v>
      </c>
      <c r="B103" s="37">
        <v>66.310000000000002</v>
      </c>
      <c r="C103" s="37">
        <v>64.980000000000004</v>
      </c>
      <c r="N103">
        <f/>
        <v>-1.4460655209172999</v>
      </c>
    </row>
    <row r="104">
      <c r="A104" s="78">
        <v>39965</v>
      </c>
      <c r="B104" s="37">
        <v>68.590000000000003</v>
      </c>
      <c r="C104" s="37">
        <v>66.599999999999994</v>
      </c>
      <c r="N104">
        <f/>
        <v>-2.0257859492810999</v>
      </c>
    </row>
    <row r="105">
      <c r="A105" s="78">
        <v>39966</v>
      </c>
      <c r="B105" s="37">
        <v>68.579999999999998</v>
      </c>
      <c r="C105" s="37">
        <v>67.670000000000002</v>
      </c>
      <c r="N105">
        <f/>
        <v>-0.94613805266550399</v>
      </c>
    </row>
    <row r="106">
      <c r="A106" s="78">
        <v>39967</v>
      </c>
      <c r="B106" s="37">
        <v>66.140000000000001</v>
      </c>
      <c r="C106" s="37">
        <v>66.15000000000002</v>
      </c>
      <c r="N106">
        <f/>
        <v>-0.11205127845158799</v>
      </c>
    </row>
    <row r="107">
      <c r="A107" s="78">
        <v>39968</v>
      </c>
      <c r="B107" s="37">
        <v>68.799999999999997</v>
      </c>
      <c r="C107" s="37">
        <v>67.680000000000007</v>
      </c>
      <c r="N107">
        <f/>
        <v>-1.14839177820939</v>
      </c>
    </row>
    <row r="108">
      <c r="A108" s="78">
        <v>39969</v>
      </c>
      <c r="B108" s="37">
        <v>68.430000000000007</v>
      </c>
      <c r="C108" s="37">
        <v>67.769999999999996</v>
      </c>
      <c r="N108">
        <f/>
        <v>-0.70141960343100596</v>
      </c>
    </row>
    <row r="109">
      <c r="A109" s="78">
        <v>39972</v>
      </c>
      <c r="B109" s="37">
        <v>68.049999999999997</v>
      </c>
      <c r="C109" s="37">
        <v>67.609999999999999</v>
      </c>
      <c r="N109">
        <f/>
        <v>-0.49479953203700699</v>
      </c>
    </row>
    <row r="110">
      <c r="A110" s="78">
        <v>39973</v>
      </c>
      <c r="B110" s="37">
        <v>70.019999999999996</v>
      </c>
      <c r="C110" s="37">
        <v>68.939999999999998</v>
      </c>
      <c r="N110">
        <f/>
        <v>-1.0654351653162999</v>
      </c>
    </row>
    <row r="111">
      <c r="A111" s="78">
        <v>39974</v>
      </c>
      <c r="B111" s="37">
        <v>71.379999999999995</v>
      </c>
      <c r="C111" s="37">
        <v>70.519999999999996</v>
      </c>
      <c r="N111">
        <f/>
        <v>-0.79754910504200904</v>
      </c>
    </row>
    <row r="112">
      <c r="A112" s="78">
        <v>39975</v>
      </c>
      <c r="B112" s="37">
        <v>72.689999999999984</v>
      </c>
      <c r="C112" s="37">
        <v>71.709999999999994</v>
      </c>
      <c r="N112">
        <f/>
        <v>-0.87142356168961099</v>
      </c>
    </row>
    <row r="113">
      <c r="A113" s="78">
        <v>39976</v>
      </c>
      <c r="B113" s="37">
        <v>72.129999999999981</v>
      </c>
      <c r="C113" s="37">
        <v>70.620000000000005</v>
      </c>
      <c r="N113">
        <f/>
        <v>-1.4211413512143001</v>
      </c>
    </row>
    <row r="114">
      <c r="A114" s="78">
        <v>39979</v>
      </c>
      <c r="B114" s="37">
        <v>70.540000000000006</v>
      </c>
      <c r="C114" s="37">
        <v>68.489999999999995</v>
      </c>
      <c r="N114">
        <f/>
        <v>-2.0171257893290999</v>
      </c>
    </row>
    <row r="115">
      <c r="A115" s="78">
        <v>39980</v>
      </c>
      <c r="B115" s="37">
        <v>70.469999999999999</v>
      </c>
      <c r="C115" s="37">
        <v>70.519999999999996</v>
      </c>
      <c r="N115">
        <f/>
        <v>8.0409486980300995e-02</v>
      </c>
    </row>
    <row r="116">
      <c r="A116" s="78">
        <v>39981</v>
      </c>
      <c r="B116" s="37">
        <v>71.069999999999993</v>
      </c>
      <c r="C116" s="37">
        <v>68.950000000000003</v>
      </c>
      <c r="N116">
        <f/>
        <v>-2.06846430995749</v>
      </c>
    </row>
    <row r="117">
      <c r="A117" s="78">
        <v>39982</v>
      </c>
      <c r="B117" s="37">
        <v>71.420000000000002</v>
      </c>
      <c r="C117" s="37">
        <v>69.959999999999994</v>
      </c>
      <c r="N117">
        <f/>
        <v>-1.39614069150461</v>
      </c>
    </row>
    <row r="118">
      <c r="A118" s="78">
        <v>39983</v>
      </c>
      <c r="B118" s="37">
        <v>69.599999999999994</v>
      </c>
      <c r="C118" s="37">
        <v>70.480000000000004</v>
      </c>
      <c r="N118">
        <f/>
        <v>0.87977649254020185</v>
      </c>
    </row>
    <row r="119">
      <c r="A119" s="78">
        <v>39986</v>
      </c>
      <c r="B119" s="37">
        <v>67.090000000000003</v>
      </c>
      <c r="C119" s="37">
        <v>66.129999999999995</v>
      </c>
      <c r="N119">
        <f/>
        <v>-1.0486014569365101</v>
      </c>
    </row>
    <row r="120">
      <c r="A120" s="78">
        <v>39987</v>
      </c>
      <c r="B120" s="37">
        <v>68.810000000000002</v>
      </c>
      <c r="C120" s="37">
        <v>66.359999999999999</v>
      </c>
      <c r="N120">
        <f/>
        <v>-2.4780396748250002</v>
      </c>
    </row>
    <row r="121">
      <c r="A121" s="78">
        <v>39988</v>
      </c>
      <c r="B121" s="37">
        <v>68.140000000000001</v>
      </c>
      <c r="C121" s="37">
        <v>68.469999999999999</v>
      </c>
      <c r="N121">
        <f/>
        <v>0.27836939842229902</v>
      </c>
    </row>
    <row r="122">
      <c r="A122" s="78">
        <v>39989</v>
      </c>
      <c r="B122" s="37">
        <v>69.700000000000003</v>
      </c>
      <c r="C122" s="37">
        <v>68.819999999999993</v>
      </c>
      <c r="N122">
        <f/>
        <v>-0.87670247361610598</v>
      </c>
    </row>
    <row r="123">
      <c r="A123" s="78">
        <v>39990</v>
      </c>
      <c r="B123" s="37">
        <v>69.159999999999997</v>
      </c>
      <c r="C123" s="37">
        <v>68.099999999999994</v>
      </c>
      <c r="N123">
        <f/>
        <v>-1.0757160563721</v>
      </c>
    </row>
    <row r="124">
      <c r="A124" s="78">
        <v>39993</v>
      </c>
      <c r="B124" s="37">
        <v>71.469999999999999</v>
      </c>
      <c r="C124" s="37">
        <v>69.75</v>
      </c>
      <c r="N124">
        <f/>
        <v>-1.6543801745827</v>
      </c>
    </row>
    <row r="125">
      <c r="A125" s="78">
        <v>39994</v>
      </c>
      <c r="B125" s="37">
        <v>69.819999999999993</v>
      </c>
      <c r="C125" s="37">
        <v>68.109999999999999</v>
      </c>
      <c r="N125">
        <f/>
        <v>-1.7024772330037099</v>
      </c>
    </row>
    <row r="126">
      <c r="A126" s="78">
        <v>39995</v>
      </c>
      <c r="B126" s="37">
        <v>69.319999999999993</v>
      </c>
      <c r="C126" s="37">
        <v>68.519999999999996</v>
      </c>
      <c r="N126">
        <f/>
        <v>-0.81008240222210792</v>
      </c>
    </row>
    <row r="127">
      <c r="A127" s="78">
        <v>39996</v>
      </c>
      <c r="B127" s="37">
        <v>66.680000000000007</v>
      </c>
      <c r="C127" s="37">
        <v>65.739999999999995</v>
      </c>
      <c r="N127">
        <f/>
        <v>-1.0430376956956999</v>
      </c>
    </row>
    <row r="128">
      <c r="A128" s="78">
        <v>40000</v>
      </c>
      <c r="B128" s="37">
        <v>64.060000000000002</v>
      </c>
      <c r="C128" s="37">
        <v>63.119999999999997</v>
      </c>
      <c r="N128">
        <f/>
        <v>-1.1352887824005</v>
      </c>
    </row>
    <row r="129">
      <c r="A129" s="78">
        <v>40001</v>
      </c>
      <c r="B129" s="37">
        <v>62.880000000000003</v>
      </c>
      <c r="C129" s="37">
        <v>61.539999999999999</v>
      </c>
      <c r="N129">
        <f/>
        <v>-1.576836981756</v>
      </c>
    </row>
    <row r="130">
      <c r="A130" s="78">
        <v>40002</v>
      </c>
      <c r="B130" s="37">
        <v>60.149999999999999</v>
      </c>
      <c r="C130" s="37">
        <v>59.710000000000001</v>
      </c>
      <c r="N130">
        <f/>
        <v>-0.77296120568890103</v>
      </c>
    </row>
    <row r="131">
      <c r="A131" s="78">
        <v>40003</v>
      </c>
      <c r="B131" s="37">
        <v>60.359999999999999</v>
      </c>
      <c r="C131" s="37">
        <v>59.170000000000002</v>
      </c>
      <c r="N131">
        <f/>
        <v>-1.5155670346171</v>
      </c>
    </row>
    <row r="132">
      <c r="A132" s="78">
        <v>40004</v>
      </c>
      <c r="B132" s="37">
        <v>59.93</v>
      </c>
      <c r="C132" s="37">
        <v>58.43</v>
      </c>
      <c r="N132">
        <f/>
        <v>-1.8407074801450001</v>
      </c>
    </row>
    <row r="133">
      <c r="A133" s="78">
        <v>40007</v>
      </c>
      <c r="B133" s="37">
        <v>59.689999999999998</v>
      </c>
      <c r="C133" s="37">
        <v>58.25</v>
      </c>
      <c r="N133">
        <f/>
        <v>-1.7891579613699</v>
      </c>
    </row>
    <row r="134">
      <c r="A134" s="78">
        <v>40008</v>
      </c>
      <c r="B134" s="37">
        <v>59.619999999999997</v>
      </c>
      <c r="C134" s="37">
        <v>60.479999999999997</v>
      </c>
      <c r="N134">
        <f/>
        <v>0.50837731493959404</v>
      </c>
    </row>
    <row r="135">
      <c r="A135" s="78">
        <v>40009</v>
      </c>
      <c r="B135" s="37">
        <v>61.490000000000002</v>
      </c>
      <c r="C135" s="37">
        <v>61.25</v>
      </c>
      <c r="N135">
        <f/>
        <v>-0.525779352183399</v>
      </c>
    </row>
    <row r="136">
      <c r="A136" s="78">
        <v>40010</v>
      </c>
      <c r="B136" s="37">
        <v>62.07</v>
      </c>
      <c r="C136" s="37">
        <v>62.020000000000003</v>
      </c>
      <c r="N136">
        <f/>
        <v>-0.315357355889894</v>
      </c>
    </row>
    <row r="137">
      <c r="A137" s="78">
        <v>40011</v>
      </c>
      <c r="B137" s="37">
        <v>63.560000000000002</v>
      </c>
      <c r="C137" s="37">
        <v>63.539999999999999</v>
      </c>
      <c r="N137">
        <f/>
        <v>-0.232893951618898</v>
      </c>
    </row>
    <row r="138">
      <c r="A138" s="78">
        <v>40014</v>
      </c>
      <c r="B138" s="37">
        <v>63.93</v>
      </c>
      <c r="C138" s="37">
        <v>64.640000000000001</v>
      </c>
      <c r="N138">
        <f/>
        <v>0.51013387360279705</v>
      </c>
    </row>
    <row r="139">
      <c r="A139" s="78">
        <v>40015</v>
      </c>
      <c r="B139" s="37">
        <v>64.810000000000002</v>
      </c>
      <c r="C139" s="37">
        <v>65.930000000000007</v>
      </c>
      <c r="N139">
        <f/>
        <v>0.95111897142730606</v>
      </c>
    </row>
    <row r="140">
      <c r="A140" s="78">
        <v>40016</v>
      </c>
      <c r="B140" s="37">
        <v>64.579999999999998</v>
      </c>
      <c r="C140" s="37">
        <v>65.359999999999999</v>
      </c>
      <c r="N140">
        <f/>
        <v>0.60302059358680504</v>
      </c>
    </row>
    <row r="141">
      <c r="A141" s="78">
        <v>40017</v>
      </c>
      <c r="B141" s="37">
        <v>66.099999999999994</v>
      </c>
      <c r="C141" s="37">
        <v>68.060000000000002</v>
      </c>
      <c r="N141">
        <f/>
        <v>1.8365403080109</v>
      </c>
    </row>
    <row r="142">
      <c r="A142" s="78">
        <v>40018</v>
      </c>
      <c r="B142" s="37">
        <v>66.959999999999994</v>
      </c>
      <c r="C142" s="37">
        <v>68.819999999999993</v>
      </c>
      <c r="N142">
        <f/>
        <v>1.7668211990667</v>
      </c>
    </row>
    <row r="143">
      <c r="A143" s="78">
        <v>40021</v>
      </c>
      <c r="B143" s="37">
        <v>68.340000000000003</v>
      </c>
      <c r="C143" s="37">
        <v>69.780000000000001</v>
      </c>
      <c r="N143">
        <f/>
        <v>1.3954114661097099</v>
      </c>
    </row>
    <row r="144">
      <c r="A144" s="78">
        <v>40022</v>
      </c>
      <c r="B144" s="37">
        <v>67.239999999999995</v>
      </c>
      <c r="C144" s="37">
        <v>68.530000000000001</v>
      </c>
      <c r="N144">
        <f/>
        <v>1.2066800938290101</v>
      </c>
    </row>
    <row r="145">
      <c r="A145" s="78">
        <v>40023</v>
      </c>
      <c r="B145" s="37">
        <v>63.420000000000002</v>
      </c>
      <c r="C145" s="37">
        <v>65.790000000000006</v>
      </c>
      <c r="N145">
        <f/>
        <v>2.1521766009999101</v>
      </c>
    </row>
    <row r="146">
      <c r="A146" s="78">
        <v>40024</v>
      </c>
      <c r="B146" s="37">
        <v>66.90000000000002</v>
      </c>
      <c r="C146" s="37">
        <v>68.819999999999993</v>
      </c>
      <c r="N146">
        <f/>
        <v>1.8247085787603901</v>
      </c>
    </row>
    <row r="147">
      <c r="A147" s="78">
        <v>40025</v>
      </c>
      <c r="B147" s="37">
        <v>69.260000000000019</v>
      </c>
      <c r="C147" s="37">
        <v>70.079999999999998</v>
      </c>
      <c r="N147">
        <f/>
        <v>0.80780497747160496</v>
      </c>
    </row>
    <row r="148">
      <c r="A148" s="78">
        <v>40028</v>
      </c>
      <c r="B148" s="37">
        <v>71.590000000000003</v>
      </c>
      <c r="C148" s="37">
        <v>72.900000000000006</v>
      </c>
      <c r="N148">
        <f/>
        <v>1.3798450660296999</v>
      </c>
    </row>
    <row r="149">
      <c r="A149" s="78">
        <v>40029</v>
      </c>
      <c r="B149" s="37">
        <v>71.40000000000002</v>
      </c>
      <c r="C149" s="37">
        <v>73.819999999999979</v>
      </c>
      <c r="N149">
        <f/>
        <v>2.4831551017267</v>
      </c>
    </row>
    <row r="150">
      <c r="A150" s="78">
        <v>40030</v>
      </c>
      <c r="B150" s="37">
        <v>71.969999999999999</v>
      </c>
      <c r="C150" s="37">
        <v>74.390000000000001</v>
      </c>
      <c r="N150">
        <f/>
        <v>2.5032249946357998</v>
      </c>
    </row>
    <row r="151">
      <c r="A151" s="78">
        <v>40031</v>
      </c>
      <c r="B151" s="37">
        <v>71.959999999999994</v>
      </c>
      <c r="C151" s="37">
        <v>74.609999999999999</v>
      </c>
      <c r="N151">
        <f/>
        <v>2.7328728912514002</v>
      </c>
    </row>
    <row r="152">
      <c r="A152" s="78">
        <v>40032</v>
      </c>
      <c r="B152" s="37">
        <v>70.969999999999999</v>
      </c>
      <c r="C152" s="37">
        <v>74.209999999999994</v>
      </c>
      <c r="N152">
        <f/>
        <v>3.2880146561988002</v>
      </c>
    </row>
    <row r="153">
      <c r="A153" s="78">
        <v>40035</v>
      </c>
      <c r="B153" s="37">
        <v>70.590000000000003</v>
      </c>
      <c r="C153" s="37">
        <v>73.790000000000006</v>
      </c>
      <c r="N153">
        <f/>
        <v>3.2346347275928098</v>
      </c>
    </row>
    <row r="154">
      <c r="A154" s="78">
        <v>40036</v>
      </c>
      <c r="B154" s="37">
        <v>69.459999999999994</v>
      </c>
      <c r="C154" s="37">
        <v>71.579999999999998</v>
      </c>
      <c r="N154">
        <f/>
        <v>2.1148470451589998</v>
      </c>
    </row>
    <row r="155">
      <c r="A155" s="78">
        <v>40037</v>
      </c>
      <c r="B155" s="37">
        <v>70.079999999999998</v>
      </c>
      <c r="C155" s="37">
        <v>74.030000000000001</v>
      </c>
      <c r="N155">
        <f/>
        <v>3.96667745498991</v>
      </c>
    </row>
    <row r="156">
      <c r="A156" s="78">
        <v>40038</v>
      </c>
      <c r="B156" s="37">
        <v>70.569999999999993</v>
      </c>
      <c r="C156" s="37">
        <v>73.760000000000005</v>
      </c>
      <c r="N156">
        <f/>
        <v>3.2239305208240001</v>
      </c>
    </row>
    <row r="157">
      <c r="A157" s="78">
        <v>40039</v>
      </c>
      <c r="B157" s="37">
        <v>67.510000000000019</v>
      </c>
      <c r="C157" s="37">
        <v>71.329999999999998</v>
      </c>
      <c r="N157">
        <f/>
        <v>3.7461868852069999</v>
      </c>
    </row>
    <row r="158">
      <c r="A158" s="78">
        <v>40042</v>
      </c>
      <c r="B158" s="37">
        <v>66.719999999999999</v>
      </c>
      <c r="C158" s="37">
        <v>68.65000000000002</v>
      </c>
      <c r="N158">
        <f/>
        <v>1.82837071784181</v>
      </c>
    </row>
    <row r="159">
      <c r="A159" s="78">
        <v>40043</v>
      </c>
      <c r="B159" s="37">
        <v>69.219999999999999</v>
      </c>
      <c r="C159" s="37">
        <v>68.659999999999997</v>
      </c>
      <c r="N159">
        <f/>
        <v>-0.57360343606580999</v>
      </c>
    </row>
    <row r="160">
      <c r="A160" s="78">
        <v>40044</v>
      </c>
      <c r="B160" s="37">
        <v>72.540000000000006</v>
      </c>
      <c r="C160" s="37">
        <v>72.810000000000002</v>
      </c>
      <c r="N160">
        <f/>
        <v>0.373294887544802</v>
      </c>
    </row>
    <row r="161">
      <c r="A161" s="78">
        <v>40045</v>
      </c>
      <c r="B161" s="37">
        <v>72.400000000000006</v>
      </c>
      <c r="C161" s="37">
        <v>73.75</v>
      </c>
      <c r="N161">
        <f/>
        <v>1.4483654401635999</v>
      </c>
    </row>
    <row r="162">
      <c r="A162" s="78">
        <v>40046</v>
      </c>
      <c r="B162" s="37">
        <v>73.120000000000005</v>
      </c>
      <c r="C162" s="37">
        <v>73.709999999999994</v>
      </c>
      <c r="N162">
        <f/>
        <v>0.71371688383818799</v>
      </c>
    </row>
    <row r="163">
      <c r="A163" s="78">
        <v>40049</v>
      </c>
      <c r="B163" s="37">
        <v>73.680000000000007</v>
      </c>
      <c r="C163" s="37">
        <v>74.340000000000003</v>
      </c>
      <c r="N163">
        <f/>
        <v>0.80343467336290098</v>
      </c>
    </row>
    <row r="164">
      <c r="A164" s="78">
        <v>40050</v>
      </c>
      <c r="B164" s="37">
        <v>71.599999999999994</v>
      </c>
      <c r="C164" s="37">
        <v>73.09999999999998</v>
      </c>
      <c r="N164">
        <f/>
        <v>1.5701971694140999</v>
      </c>
    </row>
    <row r="165">
      <c r="A165" s="78">
        <v>40051</v>
      </c>
      <c r="B165" s="37">
        <v>71.379999999999995</v>
      </c>
      <c r="C165" s="37">
        <v>70.739999999999995</v>
      </c>
      <c r="N165">
        <f/>
        <v>-0.57754910504200996</v>
      </c>
    </row>
    <row r="166">
      <c r="A166" s="78">
        <v>40052</v>
      </c>
      <c r="B166" s="37">
        <v>72.489999999999981</v>
      </c>
      <c r="C166" s="37">
        <v>70.680000000000007</v>
      </c>
      <c r="N166">
        <f/>
        <v>-1.70846562937699</v>
      </c>
    </row>
    <row r="167">
      <c r="A167" s="78">
        <v>40053</v>
      </c>
      <c r="B167" s="37">
        <v>72.719999999999999</v>
      </c>
      <c r="C167" s="37">
        <v>72.799999999999983</v>
      </c>
      <c r="N167">
        <f/>
        <v>0.18963274846349501</v>
      </c>
    </row>
    <row r="168">
      <c r="A168" s="78">
        <v>40056</v>
      </c>
      <c r="B168" s="37">
        <v>69.969999999999999</v>
      </c>
      <c r="C168" s="37">
        <v>69.019999999999996</v>
      </c>
      <c r="N168">
        <f/>
        <v>-0.93719568223809802</v>
      </c>
    </row>
    <row r="169">
      <c r="A169" s="78">
        <v>40057</v>
      </c>
      <c r="B169" s="37">
        <v>68.109999999999999</v>
      </c>
      <c r="C169" s="37">
        <v>68.780000000000001</v>
      </c>
      <c r="N169">
        <f/>
        <v>0.61731308826919895</v>
      </c>
    </row>
    <row r="170">
      <c r="A170" s="78">
        <v>40058</v>
      </c>
      <c r="B170" s="37">
        <v>68.030000000000001</v>
      </c>
      <c r="C170" s="37">
        <v>67.599999999999994</v>
      </c>
      <c r="N170">
        <f/>
        <v>-0.485503738805804</v>
      </c>
    </row>
    <row r="171">
      <c r="A171" s="78">
        <v>40059</v>
      </c>
      <c r="B171" s="37">
        <v>67.90000000000002</v>
      </c>
      <c r="C171" s="37">
        <v>66.780000000000001</v>
      </c>
      <c r="N171">
        <f/>
        <v>-1.1800810828026</v>
      </c>
    </row>
    <row r="172">
      <c r="A172" s="78">
        <v>40060</v>
      </c>
      <c r="B172" s="37">
        <v>67.950000000000003</v>
      </c>
      <c r="C172" s="37">
        <v>65.840000000000003</v>
      </c>
      <c r="N172">
        <f/>
        <v>-2.1683205658807898</v>
      </c>
    </row>
    <row r="173">
      <c r="A173" s="78">
        <v>40064</v>
      </c>
      <c r="B173" s="37">
        <v>71.079999999999998</v>
      </c>
      <c r="C173" s="37">
        <v>69.200000000000003</v>
      </c>
      <c r="N173">
        <f/>
        <v>-1.8281122065730999</v>
      </c>
    </row>
    <row r="174">
      <c r="A174" s="78">
        <v>40065</v>
      </c>
      <c r="B174" s="37">
        <v>71.269999999999996</v>
      </c>
      <c r="C174" s="37">
        <v>69.760000000000019</v>
      </c>
      <c r="N174">
        <f/>
        <v>-1.4514222422701</v>
      </c>
    </row>
    <row r="175">
      <c r="A175" s="78">
        <v>40066</v>
      </c>
      <c r="B175" s="37">
        <v>71.950000000000003</v>
      </c>
      <c r="C175" s="37">
        <v>68.959999999999994</v>
      </c>
      <c r="N175">
        <f/>
        <v>-2.9074792121330102</v>
      </c>
    </row>
    <row r="176">
      <c r="A176" s="78">
        <v>40067</v>
      </c>
      <c r="B176" s="37">
        <v>69.340000000000003</v>
      </c>
      <c r="C176" s="37">
        <v>68.760000000000019</v>
      </c>
      <c r="N176">
        <f/>
        <v>-0.58937819545339198</v>
      </c>
    </row>
    <row r="177">
      <c r="A177" s="78">
        <v>40070</v>
      </c>
      <c r="B177" s="37">
        <v>68.859999999999999</v>
      </c>
      <c r="C177" s="37">
        <v>66.909999999999997</v>
      </c>
      <c r="N177">
        <f/>
        <v>-1.97627915790311</v>
      </c>
    </row>
    <row r="178">
      <c r="A178" s="78">
        <v>40071</v>
      </c>
      <c r="B178" s="37">
        <v>70.810000000000002</v>
      </c>
      <c r="C178" s="37">
        <v>66.530000000000001</v>
      </c>
      <c r="N178">
        <f/>
        <v>-4.2376189979510999</v>
      </c>
    </row>
    <row r="179">
      <c r="A179" s="78">
        <v>40072</v>
      </c>
      <c r="B179" s="37">
        <v>72.5</v>
      </c>
      <c r="C179" s="37">
        <v>68.510000000000019</v>
      </c>
      <c r="N179">
        <f/>
        <v>-3.88811352599269</v>
      </c>
    </row>
    <row r="180">
      <c r="A180" s="78">
        <v>40073</v>
      </c>
      <c r="B180" s="37">
        <v>72.480000000000004</v>
      </c>
      <c r="C180" s="37">
        <v>71.560000000000002</v>
      </c>
      <c r="N180">
        <f/>
        <v>-0.81881773276140302</v>
      </c>
    </row>
    <row r="181">
      <c r="A181" s="78">
        <v>40074</v>
      </c>
      <c r="B181" s="37">
        <v>71.950000000000003</v>
      </c>
      <c r="C181" s="37">
        <v>70.719999999999999</v>
      </c>
      <c r="N181">
        <f/>
        <v>-1.14747921213301</v>
      </c>
    </row>
    <row r="182">
      <c r="A182" s="78">
        <v>40077</v>
      </c>
      <c r="B182" s="37">
        <v>69.739999999999995</v>
      </c>
      <c r="C182" s="37">
        <v>68.109999999999999</v>
      </c>
      <c r="N182">
        <f/>
        <v>-1.6252940600785999</v>
      </c>
    </row>
    <row r="183">
      <c r="A183" s="78">
        <v>40078</v>
      </c>
      <c r="B183" s="37">
        <v>71.5</v>
      </c>
      <c r="C183" s="37">
        <v>69.65000000000002</v>
      </c>
      <c r="N183">
        <f/>
        <v>-1.7833238644295899</v>
      </c>
    </row>
    <row r="184">
      <c r="A184" s="78">
        <v>40079</v>
      </c>
      <c r="B184" s="37">
        <v>68.739999999999995</v>
      </c>
      <c r="C184" s="37">
        <v>67.430000000000007</v>
      </c>
      <c r="N184">
        <f/>
        <v>-1.34050439851559</v>
      </c>
    </row>
    <row r="185">
      <c r="A185" s="78">
        <v>40080</v>
      </c>
      <c r="B185" s="37">
        <v>65.739999999999995</v>
      </c>
      <c r="C185" s="37">
        <v>64.989999999999995</v>
      </c>
      <c r="N185">
        <f/>
        <v>-0.88613541382640904</v>
      </c>
    </row>
    <row r="186">
      <c r="A186" s="78">
        <v>40081</v>
      </c>
      <c r="B186" s="37">
        <v>65.909999999999997</v>
      </c>
      <c r="C186" s="37">
        <v>64.599999999999994</v>
      </c>
      <c r="N186">
        <f/>
        <v>-1.4401496562921099</v>
      </c>
    </row>
    <row r="187">
      <c r="A187" s="78">
        <v>40084</v>
      </c>
      <c r="B187" s="37">
        <v>66.689999999999998</v>
      </c>
      <c r="C187" s="37">
        <v>65.430000000000007</v>
      </c>
      <c r="N187">
        <f/>
        <v>-1.3626855923112899</v>
      </c>
    </row>
    <row r="188">
      <c r="A188" s="78">
        <v>40085</v>
      </c>
      <c r="B188" s="37">
        <v>66.560000000000002</v>
      </c>
      <c r="C188" s="37">
        <v>64.629999999999995</v>
      </c>
      <c r="N188">
        <f/>
        <v>-2.0372629363081098</v>
      </c>
    </row>
    <row r="189">
      <c r="A189" s="78">
        <v>40086</v>
      </c>
      <c r="B189" s="37">
        <v>70.459999999999994</v>
      </c>
      <c r="C189" s="37">
        <v>65.819999999999993</v>
      </c>
      <c r="N189">
        <f/>
        <v>-4.6099426164040098</v>
      </c>
    </row>
    <row r="190">
      <c r="A190" s="78">
        <v>40087</v>
      </c>
      <c r="B190" s="37">
        <v>70.670000000000002</v>
      </c>
      <c r="C190" s="37">
        <v>67.120000000000005</v>
      </c>
      <c r="N190">
        <f/>
        <v>-3.5125484453323002</v>
      </c>
    </row>
    <row r="191">
      <c r="A191" s="78">
        <v>40088</v>
      </c>
      <c r="B191" s="37">
        <v>69.799999999999997</v>
      </c>
      <c r="C191" s="37">
        <v>66.5</v>
      </c>
      <c r="N191">
        <f/>
        <v>-3.2931814397724</v>
      </c>
    </row>
    <row r="192">
      <c r="A192" s="78">
        <v>40091</v>
      </c>
      <c r="B192" s="37">
        <v>70.260000000000019</v>
      </c>
      <c r="C192" s="37">
        <v>65.260000000000019</v>
      </c>
      <c r="N192">
        <f/>
        <v>-4.9769846840913896</v>
      </c>
    </row>
    <row r="193">
      <c r="A193" s="78">
        <v>40092</v>
      </c>
      <c r="B193" s="37">
        <v>70.709999999999994</v>
      </c>
      <c r="C193" s="37">
        <v>68.510000000000019</v>
      </c>
      <c r="N193">
        <f/>
        <v>-2.1611400317948002</v>
      </c>
    </row>
    <row r="194">
      <c r="A194" s="78">
        <v>40093</v>
      </c>
      <c r="B194" s="37">
        <v>69.599999999999994</v>
      </c>
      <c r="C194" s="37">
        <v>67.65000000000002</v>
      </c>
      <c r="N194">
        <f/>
        <v>-1.9502235074598</v>
      </c>
    </row>
    <row r="195">
      <c r="A195" s="78">
        <v>40094</v>
      </c>
      <c r="B195" s="37">
        <v>71.689999999999998</v>
      </c>
      <c r="C195" s="37">
        <v>68.469999999999999</v>
      </c>
      <c r="N195">
        <f/>
        <v>-3.1466339001265999</v>
      </c>
    </row>
    <row r="196">
      <c r="A196" s="78">
        <v>40095</v>
      </c>
      <c r="B196" s="37">
        <v>71.75</v>
      </c>
      <c r="C196" s="37">
        <v>69.450000000000003</v>
      </c>
      <c r="N196">
        <f/>
        <v>-2.2245212798203902</v>
      </c>
    </row>
    <row r="197">
      <c r="A197" s="78">
        <v>40098</v>
      </c>
      <c r="B197" s="37">
        <v>73.239999999999981</v>
      </c>
      <c r="C197" s="37">
        <v>70.75</v>
      </c>
      <c r="N197">
        <f/>
        <v>-2.3620578755492998</v>
      </c>
    </row>
    <row r="198">
      <c r="A198" s="78">
        <v>40099</v>
      </c>
      <c r="B198" s="37">
        <v>74.09999999999998</v>
      </c>
      <c r="C198" s="37">
        <v>70.810000000000002</v>
      </c>
      <c r="N198">
        <f/>
        <v>-3.1317769844934999</v>
      </c>
    </row>
    <row r="199">
      <c r="A199" s="78">
        <v>40100</v>
      </c>
      <c r="B199" s="37">
        <v>75.200000000000003</v>
      </c>
      <c r="C199" s="37">
        <v>72.159999999999982</v>
      </c>
      <c r="N199">
        <f/>
        <v>-2.8430456122129</v>
      </c>
    </row>
    <row r="200">
      <c r="A200" s="78">
        <v>40101</v>
      </c>
      <c r="B200" s="37">
        <v>77.549999999999983</v>
      </c>
      <c r="C200" s="37">
        <v>73.140000000000001</v>
      </c>
      <c r="N200">
        <f/>
        <v>-4.1303013168861096</v>
      </c>
    </row>
    <row r="201">
      <c r="A201" s="78">
        <v>40102</v>
      </c>
      <c r="B201" s="37">
        <v>78.540000000000006</v>
      </c>
      <c r="C201" s="37">
        <v>74.579999999999998</v>
      </c>
      <c r="N201">
        <f/>
        <v>-3.6454430818336099</v>
      </c>
    </row>
    <row r="202">
      <c r="A202" s="78">
        <v>40105</v>
      </c>
      <c r="B202" s="37">
        <v>79.469999999999999</v>
      </c>
      <c r="C202" s="37">
        <v>75.859999999999999</v>
      </c>
      <c r="N202">
        <f/>
        <v>-3.26269746708721</v>
      </c>
    </row>
    <row r="203">
      <c r="A203" s="78">
        <v>40106</v>
      </c>
      <c r="B203" s="37">
        <v>78.870000000000005</v>
      </c>
      <c r="C203" s="37">
        <v>76.510000000000005</v>
      </c>
      <c r="N203">
        <f/>
        <v>-2.0338236701493901</v>
      </c>
    </row>
    <row r="204">
      <c r="A204" s="78">
        <v>40107</v>
      </c>
      <c r="B204" s="37">
        <v>81.030000000000001</v>
      </c>
      <c r="C204" s="37">
        <v>77.739999999999981</v>
      </c>
      <c r="N204">
        <f/>
        <v>-2.8877693391256098</v>
      </c>
    </row>
    <row r="205">
      <c r="A205" s="78">
        <v>40108</v>
      </c>
      <c r="B205" s="37">
        <v>80.819999999999979</v>
      </c>
      <c r="C205" s="37">
        <v>78.359999999999999</v>
      </c>
      <c r="N205">
        <f/>
        <v>-2.0651635101972898</v>
      </c>
    </row>
    <row r="206">
      <c r="A206" s="78">
        <v>40109</v>
      </c>
      <c r="B206" s="37">
        <v>80.109999999999999</v>
      </c>
      <c r="C206" s="37">
        <v>77.719999999999999</v>
      </c>
      <c r="N206">
        <f/>
        <v>-2.0201628504875901</v>
      </c>
    </row>
    <row r="207">
      <c r="A207" s="78">
        <v>40112</v>
      </c>
      <c r="B207" s="37">
        <v>78.609999999999999</v>
      </c>
      <c r="C207" s="37">
        <v>76.450000000000003</v>
      </c>
      <c r="N207">
        <f/>
        <v>-1.8429783581429999</v>
      </c>
    </row>
    <row r="208">
      <c r="A208" s="78">
        <v>40113</v>
      </c>
      <c r="B208" s="37">
        <v>79.450000000000003</v>
      </c>
      <c r="C208" s="37">
        <v>76.689999999999984</v>
      </c>
      <c r="N208">
        <f/>
        <v>-2.4134016738558999</v>
      </c>
    </row>
    <row r="209">
      <c r="A209" s="78">
        <v>40114</v>
      </c>
      <c r="B209" s="37">
        <v>77.390000000000001</v>
      </c>
      <c r="C209" s="37">
        <v>75.109999999999999</v>
      </c>
      <c r="N209">
        <f/>
        <v>-2.0059349710359999</v>
      </c>
    </row>
    <row r="210">
      <c r="A210" s="78">
        <v>40115</v>
      </c>
      <c r="B210" s="37">
        <v>79.840000000000003</v>
      </c>
      <c r="C210" s="37">
        <v>77.180000000000007</v>
      </c>
      <c r="N210">
        <f/>
        <v>-2.2996696418654898</v>
      </c>
    </row>
    <row r="211">
      <c r="A211" s="78">
        <v>40116</v>
      </c>
      <c r="B211" s="37">
        <v>77.040000000000006</v>
      </c>
      <c r="C211" s="37">
        <v>74.909999999999982</v>
      </c>
      <c r="N211">
        <f/>
        <v>-1.868258589489</v>
      </c>
    </row>
    <row r="212">
      <c r="A212" s="78">
        <v>40119</v>
      </c>
      <c r="B212" s="37">
        <v>78.079999999999998</v>
      </c>
      <c r="C212" s="37">
        <v>75.560000000000002</v>
      </c>
      <c r="N212">
        <f/>
        <v>-2.2216398375145001</v>
      </c>
    </row>
    <row r="213">
      <c r="A213" s="78">
        <v>40120</v>
      </c>
      <c r="B213" s="37">
        <v>79.579999999999998</v>
      </c>
      <c r="C213" s="37">
        <v>75.680000000000007</v>
      </c>
      <c r="N213">
        <f/>
        <v>-3.54882432985909</v>
      </c>
    </row>
    <row r="214">
      <c r="A214" s="78">
        <v>40121</v>
      </c>
      <c r="B214" s="37">
        <v>80.299999999999983</v>
      </c>
      <c r="C214" s="37">
        <v>78.209999999999994</v>
      </c>
      <c r="N214">
        <f/>
        <v>-1.7134728861845001</v>
      </c>
    </row>
    <row r="215">
      <c r="A215" s="78">
        <v>40122</v>
      </c>
      <c r="B215" s="37">
        <v>79.640000000000001</v>
      </c>
      <c r="C215" s="37">
        <v>78.019999999999982</v>
      </c>
      <c r="N215">
        <f/>
        <v>-1.2667117095529099</v>
      </c>
    </row>
    <row r="216">
      <c r="A216" s="78">
        <v>40123</v>
      </c>
      <c r="B216" s="37">
        <v>77.400000000000006</v>
      </c>
      <c r="C216" s="37">
        <v>75.510000000000005</v>
      </c>
      <c r="N216">
        <f/>
        <v>-1.6155828676516999</v>
      </c>
    </row>
    <row r="217">
      <c r="A217" s="78">
        <v>40126</v>
      </c>
      <c r="B217" s="37">
        <v>79.439999999999984</v>
      </c>
      <c r="C217" s="37">
        <v>77.180000000000007</v>
      </c>
      <c r="N217">
        <f/>
        <v>-1.9137537772402899</v>
      </c>
    </row>
    <row r="218">
      <c r="A218" s="78">
        <v>40127</v>
      </c>
      <c r="B218" s="37">
        <v>79.010000000000005</v>
      </c>
      <c r="C218" s="37">
        <v>77.069999999999979</v>
      </c>
      <c r="N218">
        <f/>
        <v>-1.6088942227682099</v>
      </c>
    </row>
    <row r="219">
      <c r="A219" s="78">
        <v>40128</v>
      </c>
      <c r="B219" s="37">
        <v>79.159999999999982</v>
      </c>
      <c r="C219" s="37">
        <v>76.989999999999981</v>
      </c>
      <c r="N219">
        <f/>
        <v>-1.8336126720026</v>
      </c>
    </row>
    <row r="220">
      <c r="A220" s="78">
        <v>40129</v>
      </c>
      <c r="B220" s="37">
        <v>77.25</v>
      </c>
      <c r="C220" s="37">
        <v>75.180000000000007</v>
      </c>
      <c r="N220">
        <f/>
        <v>-1.80086441841719</v>
      </c>
    </row>
    <row r="221">
      <c r="A221" s="78">
        <v>40130</v>
      </c>
      <c r="B221" s="37">
        <v>76.340000000000003</v>
      </c>
      <c r="C221" s="37">
        <v>74.810000000000002</v>
      </c>
      <c r="N221">
        <f/>
        <v>-1.2929058263947999</v>
      </c>
    </row>
    <row r="222">
      <c r="A222" s="78">
        <v>40133</v>
      </c>
      <c r="B222" s="37">
        <v>78.909999999999982</v>
      </c>
      <c r="C222" s="37">
        <v>77.140000000000001</v>
      </c>
      <c r="N222">
        <f/>
        <v>-1.4424152566119</v>
      </c>
    </row>
    <row r="223">
      <c r="A223" s="78">
        <v>40134</v>
      </c>
      <c r="B223" s="37">
        <v>79.079999999999998</v>
      </c>
      <c r="C223" s="37">
        <v>77.359999999999999</v>
      </c>
      <c r="N223">
        <f/>
        <v>-1.38642949907761</v>
      </c>
    </row>
    <row r="224">
      <c r="A224" s="78">
        <v>40135</v>
      </c>
      <c r="B224" s="37">
        <v>79.549999999999983</v>
      </c>
      <c r="C224" s="37">
        <v>78.640000000000001</v>
      </c>
      <c r="N224">
        <f/>
        <v>-0.55988064001219595</v>
      </c>
    </row>
    <row r="225">
      <c r="A225" s="78">
        <v>40136</v>
      </c>
      <c r="B225" s="37">
        <v>77.469999999999999</v>
      </c>
      <c r="C225" s="37">
        <v>76.450000000000003</v>
      </c>
      <c r="N225">
        <f/>
        <v>-0.74311814396109799</v>
      </c>
    </row>
    <row r="226">
      <c r="A226" s="78">
        <v>40137</v>
      </c>
      <c r="B226" s="37">
        <v>76.829999999999998</v>
      </c>
      <c r="C226" s="37">
        <v>75.609999999999999</v>
      </c>
      <c r="N226">
        <f/>
        <v>-0.96565276056070104</v>
      </c>
    </row>
    <row r="227">
      <c r="A227" s="78">
        <v>40140</v>
      </c>
      <c r="B227" s="37">
        <v>76.489999999999981</v>
      </c>
      <c r="C227" s="37">
        <v>78.140000000000001</v>
      </c>
      <c r="N227">
        <f/>
        <v>1.89237572437069</v>
      </c>
    </row>
    <row r="228">
      <c r="A228" s="78">
        <v>40141</v>
      </c>
      <c r="B228" s="37">
        <v>74.879999999999981</v>
      </c>
      <c r="C228" s="37">
        <v>75.34999999999998</v>
      </c>
      <c r="N228">
        <f/>
        <v>0.65568707948729399</v>
      </c>
    </row>
    <row r="229">
      <c r="A229" s="78">
        <v>40142</v>
      </c>
      <c r="B229" s="37">
        <v>77.25</v>
      </c>
      <c r="C229" s="37">
        <v>76.569999999999979</v>
      </c>
      <c r="N229">
        <f/>
        <v>-0.410864418417205</v>
      </c>
    </row>
    <row r="230">
      <c r="A230" s="78">
        <v>40144</v>
      </c>
      <c r="B230" s="37">
        <v>75.950000000000003</v>
      </c>
      <c r="C230" s="37">
        <v>76</v>
      </c>
      <c r="N230">
        <f/>
        <v>0.27336214161479699</v>
      </c>
    </row>
    <row r="231">
      <c r="A231" s="78">
        <v>40147</v>
      </c>
      <c r="B231" s="37">
        <v>77.189999999999984</v>
      </c>
      <c r="C231" s="37">
        <v>77.769999999999982</v>
      </c>
      <c r="N231">
        <f/>
        <v>0.84702296127659404</v>
      </c>
    </row>
    <row r="232">
      <c r="A232" s="78">
        <v>40148</v>
      </c>
      <c r="B232" s="37">
        <v>78.390000000000001</v>
      </c>
      <c r="C232" s="37">
        <v>78.680000000000007</v>
      </c>
      <c r="N232">
        <f/>
        <v>0.59927536740090703</v>
      </c>
    </row>
    <row r="233">
      <c r="A233" s="78">
        <v>40149</v>
      </c>
      <c r="B233" s="37">
        <v>76.620000000000005</v>
      </c>
      <c r="C233" s="37">
        <v>76.959999999999994</v>
      </c>
      <c r="N233">
        <f/>
        <v>0.58695306836749195</v>
      </c>
    </row>
    <row r="234">
      <c r="A234" s="78">
        <v>40150</v>
      </c>
      <c r="B234" s="37">
        <v>76.420000000000002</v>
      </c>
      <c r="C234" s="37">
        <v>77.760000000000005</v>
      </c>
      <c r="N234">
        <f/>
        <v>1.5799110006801</v>
      </c>
    </row>
    <row r="235">
      <c r="A235" s="78">
        <v>40151</v>
      </c>
      <c r="B235" s="37">
        <v>75.409999999999982</v>
      </c>
      <c r="C235" s="37">
        <v>77.739999999999981</v>
      </c>
      <c r="N235">
        <f/>
        <v>2.5343485588588002</v>
      </c>
    </row>
    <row r="236">
      <c r="A236" s="78">
        <v>40154</v>
      </c>
      <c r="B236" s="37">
        <v>73.890000000000001</v>
      </c>
      <c r="C236" s="37">
        <v>76.180000000000007</v>
      </c>
      <c r="N236">
        <f/>
        <v>2.4408288444347099</v>
      </c>
    </row>
    <row r="237">
      <c r="A237" s="78">
        <v>40155</v>
      </c>
      <c r="B237" s="37">
        <v>72.590000000000003</v>
      </c>
      <c r="C237" s="37">
        <v>74.930000000000007</v>
      </c>
      <c r="N237">
        <f/>
        <v>2.4450554044667001</v>
      </c>
    </row>
    <row r="238">
      <c r="A238" s="78">
        <v>40156</v>
      </c>
      <c r="B238" s="37">
        <v>70.670000000000002</v>
      </c>
      <c r="C238" s="37">
        <v>73.629999999999981</v>
      </c>
      <c r="N238">
        <f/>
        <v>2.9974515546676899</v>
      </c>
    </row>
    <row r="239">
      <c r="A239" s="78">
        <v>40157</v>
      </c>
      <c r="B239" s="37">
        <v>70.540000000000006</v>
      </c>
      <c r="C239" s="37">
        <v>70.909999999999997</v>
      </c>
      <c r="N239">
        <f/>
        <v>0.40287421067090196</v>
      </c>
    </row>
    <row r="240">
      <c r="A240" s="78">
        <v>40158</v>
      </c>
      <c r="B240" s="37">
        <v>69.859999999999999</v>
      </c>
      <c r="C240" s="37">
        <v>70.069999999999993</v>
      </c>
      <c r="N240">
        <f/>
        <v>0.21893118053378696</v>
      </c>
    </row>
    <row r="241">
      <c r="A241" s="78">
        <v>40161</v>
      </c>
      <c r="B241" s="37">
        <v>69.480000000000004</v>
      </c>
      <c r="C241" s="37">
        <v>71.189999999999998</v>
      </c>
      <c r="N241">
        <f/>
        <v>1.7055512519278</v>
      </c>
    </row>
    <row r="242">
      <c r="A242" s="78">
        <v>40162</v>
      </c>
      <c r="B242" s="37">
        <v>70.620000000000005</v>
      </c>
      <c r="C242" s="37">
        <v>71.329999999999998</v>
      </c>
      <c r="N242">
        <f/>
        <v>0.74569103774589995</v>
      </c>
    </row>
    <row r="243">
      <c r="A243" s="78">
        <v>40163</v>
      </c>
      <c r="B243" s="37">
        <v>72.640000000000001</v>
      </c>
      <c r="C243" s="37">
        <v>73.340000000000003</v>
      </c>
      <c r="N243">
        <f/>
        <v>0.806815921388506</v>
      </c>
    </row>
    <row r="244">
      <c r="A244" s="78">
        <v>40164</v>
      </c>
      <c r="B244" s="37">
        <v>72.579999999999998</v>
      </c>
      <c r="C244" s="37">
        <v>71.280000000000001</v>
      </c>
      <c r="N244">
        <f/>
        <v>-1.1952966989177001</v>
      </c>
    </row>
    <row r="245">
      <c r="A245" s="78">
        <v>40165</v>
      </c>
      <c r="B245" s="37">
        <v>73.299999999999983</v>
      </c>
      <c r="C245" s="37">
        <v>71.870000000000005</v>
      </c>
      <c r="N245">
        <f/>
        <v>-1.2999452552430999</v>
      </c>
    </row>
    <row r="246">
      <c r="A246" s="78">
        <v>40168</v>
      </c>
      <c r="B246" s="37">
        <v>72.709999999999994</v>
      </c>
      <c r="C246" s="37">
        <v>72.739999999999981</v>
      </c>
      <c r="N246">
        <f/>
        <v>0.13928064507909699</v>
      </c>
    </row>
    <row r="247">
      <c r="A247" s="78">
        <v>40169</v>
      </c>
      <c r="B247" s="37">
        <v>73.480000000000004</v>
      </c>
      <c r="C247" s="37">
        <v>71.640000000000001</v>
      </c>
      <c r="N247">
        <f/>
        <v>-1.70360739432449</v>
      </c>
    </row>
    <row r="248">
      <c r="A248" s="78">
        <v>40170</v>
      </c>
      <c r="B248" s="37">
        <v>76.030000000000001</v>
      </c>
      <c r="C248" s="37">
        <v>73.870000000000005</v>
      </c>
      <c r="N248">
        <f/>
        <v>-1.9338210313102999</v>
      </c>
    </row>
    <row r="249">
      <c r="A249" s="78">
        <v>40171</v>
      </c>
      <c r="B249" s="37">
        <v>76.829999999999998</v>
      </c>
      <c r="C249" s="37">
        <v>75.150000000000006</v>
      </c>
      <c r="N249">
        <f/>
        <v>-1.4256527605606899</v>
      </c>
    </row>
    <row r="250">
      <c r="A250" s="78">
        <v>40175</v>
      </c>
      <c r="B250" s="37">
        <v>78.670000000000002</v>
      </c>
      <c r="C250" s="37">
        <v>76.590000000000003</v>
      </c>
      <c r="N250">
        <f/>
        <v>-1.7608657378368</v>
      </c>
    </row>
    <row r="251">
      <c r="A251" s="78">
        <v>40176</v>
      </c>
      <c r="B251" s="37">
        <v>78.870000000000005</v>
      </c>
      <c r="C251" s="37">
        <v>76.650000000000006</v>
      </c>
      <c r="N251">
        <f/>
        <v>-1.89382367014939</v>
      </c>
    </row>
    <row r="252">
      <c r="A252" s="78">
        <v>40177</v>
      </c>
      <c r="B252" s="37">
        <v>79.34999999999998</v>
      </c>
      <c r="C252" s="37">
        <v>77.620000000000005</v>
      </c>
      <c r="N252">
        <f/>
        <v>-1.3869227076996</v>
      </c>
    </row>
    <row r="253">
      <c r="A253" s="78">
        <v>40178</v>
      </c>
      <c r="B253" s="37">
        <v>79.390000000000001</v>
      </c>
      <c r="C253" s="37">
        <v>77.909999999999982</v>
      </c>
      <c r="N253">
        <f/>
        <v>-1.1355142941622101</v>
      </c>
    </row>
    <row r="254">
      <c r="A254" s="78">
        <v>40182</v>
      </c>
      <c r="B254" s="37">
        <v>81.519999999999982</v>
      </c>
      <c r="C254" s="37">
        <v>79.049999999999983</v>
      </c>
      <c r="N254">
        <f/>
        <v>-2.05051627329141</v>
      </c>
    </row>
    <row r="255">
      <c r="A255" s="78">
        <v>40183</v>
      </c>
      <c r="B255" s="37">
        <v>81.739999999999981</v>
      </c>
      <c r="C255" s="37">
        <v>79.269999999999982</v>
      </c>
      <c r="N255">
        <f/>
        <v>-2.0427699988353001</v>
      </c>
    </row>
    <row r="256">
      <c r="A256" s="78">
        <v>40184</v>
      </c>
      <c r="B256" s="37">
        <v>83.120000000000005</v>
      </c>
      <c r="C256" s="37">
        <v>80.140000000000001</v>
      </c>
      <c r="N256">
        <f/>
        <v>-2.5041797317924099</v>
      </c>
    </row>
    <row r="257">
      <c r="A257" s="78">
        <v>40185</v>
      </c>
      <c r="B257" s="37">
        <v>82.59999999999998</v>
      </c>
      <c r="C257" s="37">
        <v>80.569999999999979</v>
      </c>
      <c r="N257">
        <f/>
        <v>-1.5724891077795999</v>
      </c>
    </row>
    <row r="258">
      <c r="A258" s="78">
        <v>40186</v>
      </c>
      <c r="B258" s="37">
        <v>82.739999999999981</v>
      </c>
      <c r="C258" s="37">
        <v>80.060000000000002</v>
      </c>
      <c r="N258">
        <f/>
        <v>-2.2175596603983898</v>
      </c>
    </row>
    <row r="259">
      <c r="A259" s="78">
        <v>40189</v>
      </c>
      <c r="B259" s="37">
        <v>82.540000000000006</v>
      </c>
      <c r="C259" s="37">
        <v>80.140000000000001</v>
      </c>
      <c r="N259">
        <f/>
        <v>-1.9446017280857999</v>
      </c>
    </row>
    <row r="260">
      <c r="A260" s="78">
        <v>40190</v>
      </c>
      <c r="B260" s="37">
        <v>80.790000000000006</v>
      </c>
      <c r="C260" s="37">
        <v>79.379999999999981</v>
      </c>
      <c r="N260">
        <f/>
        <v>-1.0162198203504</v>
      </c>
    </row>
    <row r="261">
      <c r="A261" s="78">
        <v>40191</v>
      </c>
      <c r="B261" s="37">
        <v>79.659999999999982</v>
      </c>
      <c r="C261" s="37">
        <v>77.569999999999979</v>
      </c>
      <c r="N261">
        <f/>
        <v>-1.7360075027841999</v>
      </c>
    </row>
    <row r="262">
      <c r="A262" s="78">
        <v>40192</v>
      </c>
      <c r="B262" s="37">
        <v>79.34999999999998</v>
      </c>
      <c r="C262" s="37">
        <v>77.609999999999999</v>
      </c>
      <c r="N262">
        <f/>
        <v>-1.3969227076996</v>
      </c>
    </row>
    <row r="263">
      <c r="A263" s="78">
        <v>40193</v>
      </c>
      <c r="B263" s="37">
        <v>77.959999999999994</v>
      </c>
      <c r="C263" s="37">
        <v>76.84999999999998</v>
      </c>
      <c r="N263">
        <f/>
        <v>-0.81586507812700404</v>
      </c>
    </row>
    <row r="264">
      <c r="A264" s="78">
        <v>40197</v>
      </c>
      <c r="B264" s="37">
        <v>78.980000000000004</v>
      </c>
      <c r="C264" s="37">
        <v>75.180000000000007</v>
      </c>
      <c r="N264">
        <f/>
        <v>-3.4699505329212901</v>
      </c>
    </row>
    <row r="265">
      <c r="A265" s="78">
        <v>40198</v>
      </c>
      <c r="B265" s="37">
        <v>77.420000000000002</v>
      </c>
      <c r="C265" s="37">
        <v>75.090000000000003</v>
      </c>
      <c r="N265">
        <f/>
        <v>-2.0548786608828902</v>
      </c>
    </row>
    <row r="266">
      <c r="A266" s="78">
        <v>40199</v>
      </c>
      <c r="B266" s="37">
        <v>75.840000000000003</v>
      </c>
      <c r="C266" s="37">
        <v>74.129999999999981</v>
      </c>
      <c r="N266">
        <f/>
        <v>-1.49051099561331</v>
      </c>
    </row>
    <row r="267">
      <c r="A267" s="78">
        <v>40200</v>
      </c>
      <c r="B267" s="37">
        <v>74.25</v>
      </c>
      <c r="C267" s="37">
        <v>72.730000000000004</v>
      </c>
      <c r="N267">
        <f/>
        <v>-1.356495433728</v>
      </c>
    </row>
    <row r="268">
      <c r="A268" s="78">
        <v>40203</v>
      </c>
      <c r="B268" s="37">
        <v>74.900000000000006</v>
      </c>
      <c r="C268" s="37">
        <v>72.180000000000007</v>
      </c>
      <c r="N268">
        <f/>
        <v>-2.5336087137439902</v>
      </c>
    </row>
    <row r="269">
      <c r="A269" s="78">
        <v>40204</v>
      </c>
      <c r="B269" s="37">
        <v>74.670000000000002</v>
      </c>
      <c r="C269" s="37">
        <v>72.629999999999981</v>
      </c>
      <c r="N269">
        <f/>
        <v>-1.86170709158451</v>
      </c>
    </row>
    <row r="270">
      <c r="A270" s="78">
        <v>40205</v>
      </c>
      <c r="B270" s="37">
        <v>73.640000000000001</v>
      </c>
      <c r="C270" s="37">
        <v>72.75</v>
      </c>
      <c r="N270">
        <f/>
        <v>-0.74797374017460105</v>
      </c>
    </row>
    <row r="271">
      <c r="A271" s="78">
        <v>40206</v>
      </c>
      <c r="B271" s="37">
        <v>73.620000000000005</v>
      </c>
      <c r="C271" s="37">
        <v>70.65000000000002</v>
      </c>
      <c r="N271">
        <f/>
        <v>-2.8286779469432899</v>
      </c>
    </row>
    <row r="272">
      <c r="A272" s="78">
        <v>40207</v>
      </c>
      <c r="B272" s="37">
        <v>72.84999999999998</v>
      </c>
      <c r="C272" s="37">
        <v>71.200000000000003</v>
      </c>
      <c r="N272">
        <f/>
        <v>-1.5357899075396899</v>
      </c>
    </row>
    <row r="273">
      <c r="A273" s="78">
        <v>40210</v>
      </c>
      <c r="B273" s="37">
        <v>74.409999999999982</v>
      </c>
      <c r="C273" s="37">
        <v>71.579999999999998</v>
      </c>
      <c r="N273">
        <f/>
        <v>-2.6608617795781</v>
      </c>
    </row>
    <row r="274">
      <c r="A274" s="78">
        <v>40211</v>
      </c>
      <c r="B274" s="37">
        <v>77.209999999999994</v>
      </c>
      <c r="C274" s="37">
        <v>73.939999999999984</v>
      </c>
      <c r="N274">
        <f/>
        <v>-3.0022728319546998</v>
      </c>
    </row>
    <row r="275">
      <c r="A275" s="78">
        <v>40212</v>
      </c>
      <c r="B275" s="37">
        <v>76.959999999999994</v>
      </c>
      <c r="C275" s="37">
        <v>75.769999999999982</v>
      </c>
      <c r="N275">
        <f/>
        <v>-0.93107541656390003</v>
      </c>
    </row>
    <row r="276">
      <c r="A276" s="78">
        <v>40213</v>
      </c>
      <c r="B276" s="37">
        <v>73.129999999999981</v>
      </c>
      <c r="C276" s="37">
        <v>71.299999999999997</v>
      </c>
      <c r="N276">
        <f/>
        <v>-1.7059310127773999</v>
      </c>
    </row>
    <row r="277">
      <c r="A277" s="78">
        <v>40214</v>
      </c>
      <c r="B277" s="37">
        <v>71.15000000000002</v>
      </c>
      <c r="C277" s="37">
        <v>70.109999999999999</v>
      </c>
      <c r="N277">
        <f/>
        <v>-0.98564748288259785</v>
      </c>
    </row>
    <row r="278">
      <c r="A278" s="78">
        <v>40217</v>
      </c>
      <c r="B278" s="37">
        <v>71.870000000000005</v>
      </c>
      <c r="C278" s="37">
        <v>69.620000000000005</v>
      </c>
      <c r="N278">
        <f/>
        <v>-2.1702960392079</v>
      </c>
    </row>
    <row r="279">
      <c r="A279" s="78">
        <v>40218</v>
      </c>
      <c r="B279" s="37">
        <v>73.709999999999994</v>
      </c>
      <c r="C279" s="37">
        <v>70.40000000000002</v>
      </c>
      <c r="N279">
        <f/>
        <v>-3.1655090164840001</v>
      </c>
    </row>
    <row r="280">
      <c r="A280" s="78">
        <v>40219</v>
      </c>
      <c r="B280" s="37">
        <v>74.480000000000004</v>
      </c>
      <c r="C280" s="37">
        <v>70.40000000000002</v>
      </c>
      <c r="N280">
        <f/>
        <v>-3.9083970558874901</v>
      </c>
    </row>
    <row r="281">
      <c r="A281" s="78">
        <v>40220</v>
      </c>
      <c r="B281" s="37">
        <v>75.230000000000004</v>
      </c>
      <c r="C281" s="37">
        <v>72.34999999999998</v>
      </c>
      <c r="N281">
        <f/>
        <v>-2.6819893020598</v>
      </c>
    </row>
    <row r="282">
      <c r="A282" s="78">
        <v>40221</v>
      </c>
      <c r="B282" s="37">
        <v>74.109999999999999</v>
      </c>
      <c r="C282" s="37">
        <v>71.489999999999995</v>
      </c>
      <c r="N282">
        <f/>
        <v>-2.4614248811092101</v>
      </c>
    </row>
    <row r="283">
      <c r="A283" s="78">
        <v>40225</v>
      </c>
      <c r="B283" s="37">
        <v>76.980000000000004</v>
      </c>
      <c r="C283" s="37">
        <v>74.819999999999979</v>
      </c>
      <c r="N283">
        <f/>
        <v>-1.9003712097952099</v>
      </c>
    </row>
    <row r="284">
      <c r="A284" s="78">
        <v>40226</v>
      </c>
      <c r="B284" s="37">
        <v>77.269999999999982</v>
      </c>
      <c r="C284" s="37">
        <v>74.890000000000001</v>
      </c>
      <c r="N284">
        <f/>
        <v>-2.1101602116484099</v>
      </c>
    </row>
    <row r="285">
      <c r="A285" s="78">
        <v>40227</v>
      </c>
      <c r="B285" s="37">
        <v>78.969999999999999</v>
      </c>
      <c r="C285" s="37">
        <v>76.609999999999999</v>
      </c>
      <c r="N285">
        <f/>
        <v>-2.0303026363057102</v>
      </c>
    </row>
    <row r="286">
      <c r="A286" s="78">
        <v>40228</v>
      </c>
      <c r="B286" s="37">
        <v>79.769999999999982</v>
      </c>
      <c r="C286" s="37">
        <v>76.879999999999981</v>
      </c>
      <c r="N286">
        <f/>
        <v>-2.5321343655561002</v>
      </c>
    </row>
    <row r="287">
      <c r="A287" s="78">
        <v>40231</v>
      </c>
      <c r="B287" s="37">
        <v>80.040000000000006</v>
      </c>
      <c r="C287" s="37">
        <v>76.950000000000003</v>
      </c>
      <c r="N287">
        <f/>
        <v>-2.72262757417819</v>
      </c>
    </row>
    <row r="288">
      <c r="A288" s="78">
        <v>40232</v>
      </c>
      <c r="B288" s="37">
        <v>78.609999999999999</v>
      </c>
      <c r="C288" s="37">
        <v>76.439999999999984</v>
      </c>
      <c r="N288">
        <f/>
        <v>-1.8529783581430099</v>
      </c>
    </row>
    <row r="289">
      <c r="A289" s="78">
        <v>40233</v>
      </c>
      <c r="B289" s="37">
        <v>79.75</v>
      </c>
      <c r="C289" s="37">
        <v>77</v>
      </c>
      <c r="N289">
        <f/>
        <v>-2.3928385723249099</v>
      </c>
    </row>
    <row r="290">
      <c r="A290" s="78">
        <v>40234</v>
      </c>
      <c r="B290" s="37">
        <v>77.989999999999981</v>
      </c>
      <c r="C290" s="37">
        <v>74.379999999999981</v>
      </c>
      <c r="N290">
        <f/>
        <v>-3.3148087679738998</v>
      </c>
    </row>
    <row r="291">
      <c r="A291" s="78">
        <v>40235</v>
      </c>
      <c r="B291" s="37">
        <v>79.719999999999999</v>
      </c>
      <c r="C291" s="37">
        <v>76.359999999999999</v>
      </c>
      <c r="N291">
        <f/>
        <v>-3.0038948824779901</v>
      </c>
    </row>
    <row r="292">
      <c r="A292" s="78">
        <v>40238</v>
      </c>
      <c r="B292" s="37">
        <v>78.709999999999994</v>
      </c>
      <c r="C292" s="37">
        <v>76.069999999999979</v>
      </c>
      <c r="N292">
        <f/>
        <v>-2.31945732429931</v>
      </c>
    </row>
    <row r="293">
      <c r="A293" s="78">
        <v>40239</v>
      </c>
      <c r="B293" s="37">
        <v>79.620000000000005</v>
      </c>
      <c r="C293" s="37">
        <v>77.5</v>
      </c>
      <c r="N293">
        <f/>
        <v>-1.7674159163217</v>
      </c>
    </row>
    <row r="294">
      <c r="A294" s="78">
        <v>40240</v>
      </c>
      <c r="B294" s="37">
        <v>80.909999999999982</v>
      </c>
      <c r="C294" s="37">
        <v>78.659999999999982</v>
      </c>
      <c r="N294">
        <f/>
        <v>-1.851994579738</v>
      </c>
    </row>
    <row r="295">
      <c r="A295" s="78">
        <v>40241</v>
      </c>
      <c r="B295" s="37">
        <v>80.209999999999994</v>
      </c>
      <c r="C295" s="37">
        <v>77.879999999999981</v>
      </c>
      <c r="N295">
        <f/>
        <v>-1.9566418166439099</v>
      </c>
    </row>
    <row r="296">
      <c r="A296" s="78">
        <v>40242</v>
      </c>
      <c r="B296" s="37">
        <v>81.5</v>
      </c>
      <c r="C296" s="37">
        <v>79.200000000000003</v>
      </c>
      <c r="N296">
        <f/>
        <v>-1.8812204800601899</v>
      </c>
    </row>
    <row r="297">
      <c r="A297" s="78">
        <v>40245</v>
      </c>
      <c r="B297" s="37">
        <v>81.84999999999998</v>
      </c>
      <c r="C297" s="37">
        <v>78.939999999999984</v>
      </c>
      <c r="N297">
        <f/>
        <v>-2.4788968616072999</v>
      </c>
    </row>
    <row r="298">
      <c r="A298" s="78">
        <v>40246</v>
      </c>
      <c r="B298" s="37">
        <v>81.5</v>
      </c>
      <c r="C298" s="37">
        <v>78.769999999999982</v>
      </c>
      <c r="N298">
        <f/>
        <v>-2.3112204800602001</v>
      </c>
    </row>
    <row r="299">
      <c r="A299" s="78">
        <v>40247</v>
      </c>
      <c r="B299" s="37">
        <v>82.069999999999993</v>
      </c>
      <c r="C299" s="37">
        <v>80.290000000000006</v>
      </c>
      <c r="N299">
        <f/>
        <v>-1.34115058715119</v>
      </c>
    </row>
    <row r="300">
      <c r="A300" s="78">
        <v>40248</v>
      </c>
      <c r="B300" s="37">
        <v>82.09999999999998</v>
      </c>
      <c r="C300" s="37">
        <v>79.439999999999984</v>
      </c>
      <c r="N300">
        <f/>
        <v>-2.2200942769980001</v>
      </c>
    </row>
    <row r="301">
      <c r="A301" s="78">
        <v>40249</v>
      </c>
      <c r="B301" s="37">
        <v>81.260000000000005</v>
      </c>
      <c r="C301" s="37">
        <v>79.379999999999981</v>
      </c>
      <c r="N301">
        <f/>
        <v>-1.4696709612851</v>
      </c>
    </row>
    <row r="302">
      <c r="A302" s="78">
        <v>40252</v>
      </c>
      <c r="B302" s="37">
        <v>79.790000000000006</v>
      </c>
      <c r="C302" s="37">
        <v>77.079999999999998</v>
      </c>
      <c r="N302">
        <f/>
        <v>-2.35143015878741</v>
      </c>
    </row>
    <row r="303">
      <c r="A303" s="78">
        <v>40253</v>
      </c>
      <c r="B303" s="37">
        <v>81.75</v>
      </c>
      <c r="C303" s="37">
        <v>79.450000000000003</v>
      </c>
      <c r="N303">
        <f/>
        <v>-1.87241789545099</v>
      </c>
    </row>
    <row r="304">
      <c r="A304" s="78">
        <v>40254</v>
      </c>
      <c r="B304" s="37">
        <v>82.930000000000007</v>
      </c>
      <c r="C304" s="37">
        <v>80.280000000000001</v>
      </c>
      <c r="N304">
        <f/>
        <v>-2.1808696960953999</v>
      </c>
    </row>
    <row r="305">
      <c r="A305" s="78">
        <v>40255</v>
      </c>
      <c r="B305" s="37">
        <v>82.159999999999982</v>
      </c>
      <c r="C305" s="37">
        <v>80.090000000000003</v>
      </c>
      <c r="N305">
        <f/>
        <v>-1.6279816566917999</v>
      </c>
    </row>
    <row r="306">
      <c r="A306" s="78">
        <v>40256</v>
      </c>
      <c r="B306" s="37">
        <v>80.579999999999998</v>
      </c>
      <c r="C306" s="37">
        <v>78.370000000000005</v>
      </c>
      <c r="N306">
        <f/>
        <v>-1.8236139914221901</v>
      </c>
    </row>
    <row r="307">
      <c r="A307" s="78">
        <v>40259</v>
      </c>
      <c r="B307" s="37">
        <v>81.260000000000005</v>
      </c>
      <c r="C307" s="37">
        <v>78.090000000000003</v>
      </c>
      <c r="N307">
        <f/>
        <v>-2.7596709612850998</v>
      </c>
    </row>
    <row r="308">
      <c r="A308" s="78">
        <v>40260</v>
      </c>
      <c r="B308" s="37">
        <v>81.680000000000007</v>
      </c>
      <c r="C308" s="37">
        <v>79.170000000000002</v>
      </c>
      <c r="N308">
        <f/>
        <v>-2.0848826191416001</v>
      </c>
    </row>
    <row r="309">
      <c r="A309" s="78">
        <v>40261</v>
      </c>
      <c r="B309" s="37">
        <v>80.290000000000006</v>
      </c>
      <c r="C309" s="37">
        <v>78.030000000000001</v>
      </c>
      <c r="N309">
        <f/>
        <v>-1.8838249895688901</v>
      </c>
    </row>
    <row r="310">
      <c r="A310" s="78">
        <v>40262</v>
      </c>
      <c r="B310" s="37">
        <v>80.25</v>
      </c>
      <c r="C310" s="37">
        <v>78.640000000000001</v>
      </c>
      <c r="N310">
        <f/>
        <v>-1.2352334031064101</v>
      </c>
    </row>
    <row r="311">
      <c r="A311" s="78">
        <v>40263</v>
      </c>
      <c r="B311" s="37">
        <v>79.75</v>
      </c>
      <c r="C311" s="37">
        <v>77.980000000000004</v>
      </c>
      <c r="N311">
        <f/>
        <v>-1.4128385723249</v>
      </c>
    </row>
    <row r="312">
      <c r="A312" s="78">
        <v>40266</v>
      </c>
      <c r="B312" s="37">
        <v>81.920000000000002</v>
      </c>
      <c r="C312" s="37">
        <v>79.890000000000001</v>
      </c>
      <c r="N312">
        <f/>
        <v>-1.5964321379166899</v>
      </c>
    </row>
    <row r="313">
      <c r="A313" s="78">
        <v>40267</v>
      </c>
      <c r="B313" s="37">
        <v>82.140000000000001</v>
      </c>
      <c r="C313" s="37">
        <v>79.459999999999994</v>
      </c>
      <c r="N313">
        <f/>
        <v>-2.2386858634606002</v>
      </c>
    </row>
    <row r="314">
      <c r="A314" s="78">
        <v>40268</v>
      </c>
      <c r="B314" s="37">
        <v>83.450000000000003</v>
      </c>
      <c r="C314" s="37">
        <v>80.370000000000005</v>
      </c>
      <c r="N314">
        <f/>
        <v>-2.5925603201081899</v>
      </c>
    </row>
    <row r="315">
      <c r="A315" s="78">
        <v>40269</v>
      </c>
      <c r="B315" s="37">
        <v>84.530000000000001</v>
      </c>
      <c r="C315" s="37">
        <v>82.629999999999981</v>
      </c>
      <c r="N315">
        <f/>
        <v>-1.37453315459631</v>
      </c>
    </row>
    <row r="316">
      <c r="A316" s="78">
        <v>40273</v>
      </c>
      <c r="B316" s="37">
        <v>86.359999999999999</v>
      </c>
      <c r="C316" s="37">
        <v>84.480000000000004</v>
      </c>
      <c r="N316">
        <f/>
        <v>-1.2900982352566901</v>
      </c>
    </row>
    <row r="317">
      <c r="A317" s="78">
        <v>40274</v>
      </c>
      <c r="B317" s="37">
        <v>86.540000000000006</v>
      </c>
      <c r="C317" s="37">
        <v>85.049999999999983</v>
      </c>
      <c r="N317">
        <f/>
        <v>-0.89376037433800115</v>
      </c>
    </row>
    <row r="318">
      <c r="A318" s="78">
        <v>40275</v>
      </c>
      <c r="B318" s="37">
        <v>85.640000000000001</v>
      </c>
      <c r="C318" s="37">
        <v>84.489999999999981</v>
      </c>
      <c r="N318">
        <f/>
        <v>-0.58544967893131195</v>
      </c>
    </row>
    <row r="319">
      <c r="A319" s="78">
        <v>40276</v>
      </c>
      <c r="B319" s="37">
        <v>85.170000000000002</v>
      </c>
      <c r="C319" s="37">
        <v>82.629999999999981</v>
      </c>
      <c r="N319">
        <f/>
        <v>-1.9919985379966101</v>
      </c>
    </row>
    <row r="320">
      <c r="A320" s="78">
        <v>40277</v>
      </c>
      <c r="B320" s="37">
        <v>84.59999999999998</v>
      </c>
      <c r="C320" s="37">
        <v>82.769999999999982</v>
      </c>
      <c r="N320">
        <f/>
        <v>-1.30206843090571</v>
      </c>
    </row>
    <row r="321">
      <c r="A321" s="78">
        <v>40280</v>
      </c>
      <c r="B321" s="37">
        <v>84.069999999999993</v>
      </c>
      <c r="C321" s="37">
        <v>85.209999999999994</v>
      </c>
      <c r="N321">
        <f/>
        <v>1.64927008972269</v>
      </c>
    </row>
    <row r="322">
      <c r="A322" s="78">
        <v>40281</v>
      </c>
      <c r="B322" s="37">
        <v>83.799999999999983</v>
      </c>
      <c r="C322" s="37">
        <v>83.439999999999984</v>
      </c>
      <c r="N322">
        <f/>
        <v>0.139763298344803</v>
      </c>
    </row>
    <row r="323">
      <c r="A323" s="78">
        <v>40282</v>
      </c>
      <c r="B323" s="37">
        <v>85.620000000000005</v>
      </c>
      <c r="C323" s="37">
        <v>85.810000000000002</v>
      </c>
      <c r="N323">
        <f/>
        <v>0.75384611430000403</v>
      </c>
    </row>
    <row r="324">
      <c r="A324" s="78">
        <v>40283</v>
      </c>
      <c r="B324" s="37">
        <v>85.25</v>
      </c>
      <c r="C324" s="37">
        <v>86.900000000000006</v>
      </c>
      <c r="N324">
        <f/>
        <v>2.2008182890782999</v>
      </c>
    </row>
    <row r="325">
      <c r="A325" s="78">
        <v>40284</v>
      </c>
      <c r="B325" s="37">
        <v>82.969999999999999</v>
      </c>
      <c r="C325" s="37">
        <v>84.810000000000002</v>
      </c>
      <c r="N325">
        <f/>
        <v>2.3105387174421002</v>
      </c>
    </row>
    <row r="326">
      <c r="A326" s="78">
        <v>40287</v>
      </c>
      <c r="B326" s="37">
        <v>81.519999999999982</v>
      </c>
      <c r="C326" s="37">
        <v>83.090000000000003</v>
      </c>
      <c r="N326">
        <f/>
        <v>1.9894837267086001</v>
      </c>
    </row>
    <row r="327">
      <c r="A327" s="78">
        <v>40288</v>
      </c>
      <c r="B327" s="37">
        <v>82.980000000000004</v>
      </c>
      <c r="C327" s="37">
        <v>84.730000000000004</v>
      </c>
      <c r="N327">
        <f/>
        <v>2.2208908208264999</v>
      </c>
    </row>
    <row r="328">
      <c r="A328" s="78">
        <v>40289</v>
      </c>
      <c r="B328" s="37">
        <v>82.780000000000001</v>
      </c>
      <c r="C328" s="37">
        <v>84.549999999999983</v>
      </c>
      <c r="N328">
        <f/>
        <v>2.2338487531391</v>
      </c>
    </row>
    <row r="329">
      <c r="A329" s="78">
        <v>40290</v>
      </c>
      <c r="B329" s="37">
        <v>82.890000000000001</v>
      </c>
      <c r="C329" s="37">
        <v>84.579999999999998</v>
      </c>
      <c r="N329">
        <f/>
        <v>2.1577218903671</v>
      </c>
    </row>
    <row r="330">
      <c r="A330" s="78">
        <v>40291</v>
      </c>
      <c r="B330" s="37">
        <v>84.340000000000003</v>
      </c>
      <c r="C330" s="37">
        <v>86.090000000000003</v>
      </c>
      <c r="N330">
        <f/>
        <v>2.2687768811007101</v>
      </c>
    </row>
    <row r="331">
      <c r="A331" s="78">
        <v>40294</v>
      </c>
      <c r="B331" s="37">
        <v>84.200000000000003</v>
      </c>
      <c r="C331" s="37">
        <v>86.719999999999999</v>
      </c>
      <c r="N331">
        <f/>
        <v>3.0338474337195001</v>
      </c>
    </row>
    <row r="332">
      <c r="A332" s="78">
        <v>40295</v>
      </c>
      <c r="B332" s="37">
        <v>82.430000000000007</v>
      </c>
      <c r="C332" s="37">
        <v>85.590000000000003</v>
      </c>
      <c r="N332">
        <f/>
        <v>3.6115251346860999</v>
      </c>
    </row>
    <row r="333">
      <c r="A333" s="78">
        <v>40296</v>
      </c>
      <c r="B333" s="37">
        <v>83.219999999999999</v>
      </c>
      <c r="C333" s="37">
        <v>84.590000000000003</v>
      </c>
      <c r="N333">
        <f/>
        <v>1.8493413020513001</v>
      </c>
    </row>
    <row r="334">
      <c r="A334" s="78">
        <v>40297</v>
      </c>
      <c r="B334" s="37">
        <v>85.170000000000002</v>
      </c>
      <c r="C334" s="37">
        <v>86.819999999999993</v>
      </c>
      <c r="N334">
        <f/>
        <v>2.1980014620033899</v>
      </c>
    </row>
    <row r="335">
      <c r="A335" s="78">
        <v>40298</v>
      </c>
      <c r="B335" s="37">
        <v>86.069999999999993</v>
      </c>
      <c r="C335" s="37">
        <v>86.189999999999984</v>
      </c>
      <c r="N335">
        <f/>
        <v>0.69969076659660401</v>
      </c>
    </row>
    <row r="336">
      <c r="A336" s="78">
        <v>40301</v>
      </c>
      <c r="B336" s="37">
        <v>86.189999999999984</v>
      </c>
      <c r="C336" s="37">
        <v>88.090000000000003</v>
      </c>
      <c r="N336">
        <f/>
        <v>2.4839160072091002</v>
      </c>
    </row>
    <row r="337">
      <c r="A337" s="78">
        <v>40302</v>
      </c>
      <c r="B337" s="37">
        <v>82.730000000000004</v>
      </c>
      <c r="C337" s="37">
        <v>85.390000000000001</v>
      </c>
      <c r="N337">
        <f/>
        <v>3.1220882362172002</v>
      </c>
    </row>
    <row r="338">
      <c r="A338" s="78">
        <v>40303</v>
      </c>
      <c r="B338" s="37">
        <v>80</v>
      </c>
      <c r="C338" s="37">
        <v>82.310000000000002</v>
      </c>
      <c r="N338">
        <f/>
        <v>2.6759640122844002</v>
      </c>
    </row>
    <row r="339">
      <c r="A339" s="78">
        <v>40304</v>
      </c>
      <c r="B339" s="37">
        <v>77.180000000000007</v>
      </c>
      <c r="C339" s="37">
        <v>80.209999999999994</v>
      </c>
      <c r="N339">
        <f/>
        <v>3.2966708578922002</v>
      </c>
    </row>
    <row r="340">
      <c r="A340" s="78">
        <v>40305</v>
      </c>
      <c r="B340" s="37">
        <v>75.09999999999998</v>
      </c>
      <c r="C340" s="37">
        <v>76.480000000000004</v>
      </c>
      <c r="N340">
        <f/>
        <v>1.5734333539434</v>
      </c>
    </row>
    <row r="341">
      <c r="A341" s="78">
        <v>40308</v>
      </c>
      <c r="B341" s="37">
        <v>76.890000000000001</v>
      </c>
      <c r="C341" s="37">
        <v>78.079999999999998</v>
      </c>
      <c r="N341">
        <f/>
        <v>1.4464598597455001</v>
      </c>
    </row>
    <row r="342">
      <c r="A342" s="78">
        <v>40309</v>
      </c>
      <c r="B342" s="37">
        <v>76.370000000000005</v>
      </c>
      <c r="C342" s="37">
        <v>79</v>
      </c>
      <c r="N342">
        <f/>
        <v>2.8681504837583001</v>
      </c>
    </row>
    <row r="343">
      <c r="A343" s="78">
        <v>40310</v>
      </c>
      <c r="B343" s="37">
        <v>75.650000000000006</v>
      </c>
      <c r="C343" s="37">
        <v>78.700000000000003</v>
      </c>
      <c r="N343">
        <f/>
        <v>3.2627990400837099</v>
      </c>
    </row>
    <row r="344">
      <c r="A344" s="78">
        <v>40311</v>
      </c>
      <c r="B344" s="37">
        <v>74.379999999999981</v>
      </c>
      <c r="C344" s="37">
        <v>79.409999999999982</v>
      </c>
      <c r="N344">
        <f/>
        <v>5.1980819102688001</v>
      </c>
    </row>
    <row r="345">
      <c r="A345" s="78">
        <v>40312</v>
      </c>
      <c r="B345" s="37">
        <v>71.609999999999999</v>
      </c>
      <c r="C345" s="37">
        <v>76.430000000000007</v>
      </c>
      <c r="N345">
        <f/>
        <v>4.89054927279851</v>
      </c>
    </row>
    <row r="346">
      <c r="A346" s="78">
        <v>40315</v>
      </c>
      <c r="B346" s="37">
        <v>70.079999999999998</v>
      </c>
      <c r="C346" s="37">
        <v>73.870000000000005</v>
      </c>
      <c r="N346">
        <f/>
        <v>3.8066774549899098</v>
      </c>
    </row>
    <row r="347">
      <c r="A347" s="78">
        <v>40316</v>
      </c>
      <c r="B347" s="37">
        <v>69.379999999999995</v>
      </c>
      <c r="C347" s="37">
        <v>75.120000000000005</v>
      </c>
      <c r="N347">
        <f/>
        <v>5.7320302180841098</v>
      </c>
    </row>
    <row r="348">
      <c r="A348" s="78">
        <v>40317</v>
      </c>
      <c r="B348" s="37">
        <v>69.909999999999997</v>
      </c>
      <c r="C348" s="37">
        <v>71.859999999999999</v>
      </c>
      <c r="N348">
        <f/>
        <v>1.9606916974557</v>
      </c>
    </row>
    <row r="349">
      <c r="A349" s="78">
        <v>40318</v>
      </c>
      <c r="B349" s="37">
        <v>68.280000000000001</v>
      </c>
      <c r="C349" s="37">
        <v>69.560000000000002</v>
      </c>
      <c r="N349">
        <f/>
        <v>1.2332988458034</v>
      </c>
    </row>
    <row r="350">
      <c r="A350" s="78">
        <v>40319</v>
      </c>
      <c r="B350" s="37">
        <v>68.030000000000001</v>
      </c>
      <c r="C350" s="37">
        <v>70.450000000000003</v>
      </c>
      <c r="N350">
        <f/>
        <v>2.3644962611942102</v>
      </c>
    </row>
    <row r="351">
      <c r="A351" s="78">
        <v>40322</v>
      </c>
      <c r="B351" s="37">
        <v>68.230000000000004</v>
      </c>
      <c r="C351" s="37">
        <v>69.620000000000005</v>
      </c>
      <c r="N351">
        <f/>
        <v>1.3415383288816101</v>
      </c>
    </row>
    <row r="352">
      <c r="A352" s="78">
        <v>40323</v>
      </c>
      <c r="B352" s="37">
        <v>64.780000000000001</v>
      </c>
      <c r="C352" s="37">
        <v>67.180000000000007</v>
      </c>
      <c r="N352">
        <f/>
        <v>2.2300626612742001</v>
      </c>
    </row>
    <row r="353">
      <c r="A353" s="78">
        <v>40324</v>
      </c>
      <c r="B353" s="37">
        <v>71.519999999999996</v>
      </c>
      <c r="C353" s="37">
        <v>70.590000000000003</v>
      </c>
      <c r="N353">
        <f/>
        <v>-0.86261965766090098</v>
      </c>
    </row>
    <row r="354">
      <c r="A354" s="78">
        <v>40325</v>
      </c>
      <c r="B354" s="37">
        <v>74.560000000000002</v>
      </c>
      <c r="C354" s="37">
        <v>73.560000000000002</v>
      </c>
      <c r="N354">
        <f/>
        <v>-0.82558022881259796</v>
      </c>
    </row>
    <row r="355">
      <c r="A355" s="78">
        <v>40326</v>
      </c>
      <c r="B355" s="37">
        <v>74</v>
      </c>
      <c r="C355" s="37">
        <v>73</v>
      </c>
      <c r="N355">
        <f/>
        <v>-0.84529801833730311</v>
      </c>
    </row>
    <row r="356">
      <c r="A356" s="78">
        <v>40330</v>
      </c>
      <c r="B356" s="37">
        <v>72.700000000000003</v>
      </c>
      <c r="C356" s="37">
        <v>73.079999999999998</v>
      </c>
      <c r="N356">
        <f/>
        <v>0.48892854169470501</v>
      </c>
    </row>
    <row r="357">
      <c r="A357" s="78">
        <v>40331</v>
      </c>
      <c r="B357" s="37">
        <v>72.879999999999981</v>
      </c>
      <c r="C357" s="37">
        <v>72.780000000000001</v>
      </c>
      <c r="N357">
        <f/>
        <v>1.5266402613405998e-02</v>
      </c>
    </row>
    <row r="358">
      <c r="A358" s="78">
        <v>40332</v>
      </c>
      <c r="B358" s="37">
        <v>74.620000000000005</v>
      </c>
      <c r="C358" s="37">
        <v>73.120000000000005</v>
      </c>
      <c r="N358">
        <f/>
        <v>-1.3234676085063899</v>
      </c>
    </row>
    <row r="359">
      <c r="A359" s="78">
        <v>40333</v>
      </c>
      <c r="B359" s="37">
        <v>71.430000000000007</v>
      </c>
      <c r="C359" s="37">
        <v>71.840000000000003</v>
      </c>
      <c r="N359">
        <f/>
        <v>0.47421141187980698</v>
      </c>
    </row>
    <row r="360">
      <c r="A360" s="78">
        <v>40336</v>
      </c>
      <c r="B360" s="37">
        <v>71.549999999999997</v>
      </c>
      <c r="C360" s="37">
        <v>71.090000000000003</v>
      </c>
      <c r="N360">
        <f/>
        <v>-0.39156334750779798</v>
      </c>
    </row>
    <row r="361">
      <c r="A361" s="78">
        <v>40337</v>
      </c>
      <c r="B361" s="37">
        <v>71.879999999999995</v>
      </c>
      <c r="C361" s="37">
        <v>71.430000000000007</v>
      </c>
      <c r="N361">
        <f/>
        <v>-0.36994393582359902</v>
      </c>
    </row>
    <row r="362">
      <c r="A362" s="78">
        <v>40338</v>
      </c>
      <c r="B362" s="37">
        <v>74.379999999999981</v>
      </c>
      <c r="C362" s="37">
        <v>73.680000000000007</v>
      </c>
      <c r="N362">
        <f/>
        <v>-0.53191808973119203</v>
      </c>
    </row>
    <row r="363">
      <c r="A363" s="78">
        <v>40339</v>
      </c>
      <c r="B363" s="37">
        <v>75.480000000000004</v>
      </c>
      <c r="C363" s="37">
        <v>74.329999999999998</v>
      </c>
      <c r="N363">
        <f/>
        <v>-0.94318671745060101</v>
      </c>
    </row>
    <row r="364">
      <c r="A364" s="78">
        <v>40340</v>
      </c>
      <c r="B364" s="37">
        <v>73.890000000000001</v>
      </c>
      <c r="C364" s="37">
        <v>73.280000000000001</v>
      </c>
      <c r="N364">
        <f/>
        <v>-0.45917115556530097</v>
      </c>
    </row>
    <row r="365">
      <c r="A365" s="78">
        <v>40343</v>
      </c>
      <c r="B365" s="37">
        <v>74.989999999999981</v>
      </c>
      <c r="C365" s="37">
        <v>75.109999999999999</v>
      </c>
      <c r="N365">
        <f/>
        <v>0.30956021671529799</v>
      </c>
    </row>
    <row r="366">
      <c r="A366" s="78">
        <v>40344</v>
      </c>
      <c r="B366" s="37">
        <v>76.840000000000003</v>
      </c>
      <c r="C366" s="37">
        <v>75.290000000000006</v>
      </c>
      <c r="N366">
        <f/>
        <v>-1.2953006571762999</v>
      </c>
    </row>
    <row r="367">
      <c r="A367" s="78">
        <v>40345</v>
      </c>
      <c r="B367" s="37">
        <v>77.670000000000002</v>
      </c>
      <c r="C367" s="37">
        <v>76.120000000000005</v>
      </c>
      <c r="N367">
        <f/>
        <v>-1.26607607627369</v>
      </c>
    </row>
    <row r="368">
      <c r="A368" s="78">
        <v>40346</v>
      </c>
      <c r="B368" s="37">
        <v>76.819999999999979</v>
      </c>
      <c r="C368" s="37">
        <v>77.519999999999982</v>
      </c>
      <c r="N368">
        <f/>
        <v>0.95399513605490005</v>
      </c>
    </row>
    <row r="369">
      <c r="A369" s="78">
        <v>40347</v>
      </c>
      <c r="B369" s="37">
        <v>77.180000000000007</v>
      </c>
      <c r="C369" s="37">
        <v>77.049999999999983</v>
      </c>
      <c r="N369">
        <f/>
        <v>0.13667085789219899</v>
      </c>
    </row>
    <row r="370">
      <c r="A370" s="78">
        <v>40350</v>
      </c>
      <c r="B370" s="37">
        <v>77.840000000000003</v>
      </c>
      <c r="C370" s="37">
        <v>78.530000000000001</v>
      </c>
      <c r="N370">
        <f/>
        <v>0.97990968126060785</v>
      </c>
    </row>
    <row r="371">
      <c r="A371" s="78">
        <v>40351</v>
      </c>
      <c r="B371" s="37">
        <v>77.150000000000006</v>
      </c>
      <c r="C371" s="37">
        <v>78.079999999999998</v>
      </c>
      <c r="N371">
        <f/>
        <v>1.1956145477391</v>
      </c>
    </row>
    <row r="372">
      <c r="A372" s="78">
        <v>40352</v>
      </c>
      <c r="B372" s="37">
        <v>75.900000000000006</v>
      </c>
      <c r="C372" s="37">
        <v>75.219999999999999</v>
      </c>
      <c r="N372">
        <f/>
        <v>-0.45839837530709798</v>
      </c>
    </row>
    <row r="373">
      <c r="A373" s="78">
        <v>40353</v>
      </c>
      <c r="B373" s="37">
        <v>75.959999999999994</v>
      </c>
      <c r="C373" s="37">
        <v>75.170000000000002</v>
      </c>
      <c r="N373">
        <f/>
        <v>-0.56628575500079104</v>
      </c>
    </row>
    <row r="374">
      <c r="A374" s="78">
        <v>40354</v>
      </c>
      <c r="B374" s="37">
        <v>78.450000000000003</v>
      </c>
      <c r="C374" s="37">
        <v>76.209999999999994</v>
      </c>
      <c r="N374">
        <f/>
        <v>-1.9286120122929</v>
      </c>
    </row>
    <row r="375">
      <c r="A375" s="78">
        <v>40357</v>
      </c>
      <c r="B375" s="37">
        <v>78.260000000000005</v>
      </c>
      <c r="C375" s="37">
        <v>76.659999999999982</v>
      </c>
      <c r="N375">
        <f/>
        <v>-1.29530197659591</v>
      </c>
    </row>
    <row r="376">
      <c r="A376" s="78">
        <v>40358</v>
      </c>
      <c r="B376" s="37">
        <v>75.930000000000007</v>
      </c>
      <c r="C376" s="37">
        <v>74.209999999999994</v>
      </c>
      <c r="N376">
        <f/>
        <v>-1.4973420651539999</v>
      </c>
    </row>
    <row r="377">
      <c r="A377" s="78">
        <v>40359</v>
      </c>
      <c r="B377" s="37">
        <v>75.590000000000003</v>
      </c>
      <c r="C377" s="37">
        <v>74.939999999999984</v>
      </c>
      <c r="N377">
        <f/>
        <v>-0.43931358022250305</v>
      </c>
    </row>
    <row r="378">
      <c r="A378" s="78">
        <v>40360</v>
      </c>
      <c r="B378" s="37">
        <v>72.950000000000003</v>
      </c>
      <c r="C378" s="37">
        <v>71.730000000000004</v>
      </c>
      <c r="N378">
        <f/>
        <v>-1.1022688736960899</v>
      </c>
    </row>
    <row r="379">
      <c r="A379" s="78">
        <v>40361</v>
      </c>
      <c r="B379" s="37">
        <v>72.060000000000002</v>
      </c>
      <c r="C379" s="37">
        <v>71.75</v>
      </c>
      <c r="N379">
        <f/>
        <v>-0.22360607490489301</v>
      </c>
    </row>
    <row r="380">
      <c r="A380" s="78">
        <v>40365</v>
      </c>
      <c r="B380" s="37">
        <v>71.959999999999994</v>
      </c>
      <c r="C380" s="37">
        <v>73.079999999999998</v>
      </c>
      <c r="N380">
        <f/>
        <v>1.2028728912514</v>
      </c>
    </row>
    <row r="381">
      <c r="A381" s="78">
        <v>40366</v>
      </c>
      <c r="B381" s="37">
        <v>74.049999999999983</v>
      </c>
      <c r="C381" s="37">
        <v>72.969999999999999</v>
      </c>
      <c r="N381">
        <f/>
        <v>-0.92353750141539614</v>
      </c>
    </row>
    <row r="382">
      <c r="A382" s="78">
        <v>40367</v>
      </c>
      <c r="B382" s="37">
        <v>75.459999999999994</v>
      </c>
      <c r="C382" s="37">
        <v>74.560000000000002</v>
      </c>
      <c r="N382">
        <f/>
        <v>-0.69389092421930398</v>
      </c>
    </row>
    <row r="383">
      <c r="A383" s="78">
        <v>40368</v>
      </c>
      <c r="B383" s="37">
        <v>76.079999999999998</v>
      </c>
      <c r="C383" s="37">
        <v>75.200000000000003</v>
      </c>
      <c r="N383">
        <f/>
        <v>-0.65206051438839596</v>
      </c>
    </row>
    <row r="384">
      <c r="A384" s="78">
        <v>40371</v>
      </c>
      <c r="B384" s="37">
        <v>74.930000000000007</v>
      </c>
      <c r="C384" s="37">
        <v>74.34999999999998</v>
      </c>
      <c r="N384">
        <f/>
        <v>-0.39255240359091198</v>
      </c>
    </row>
    <row r="385">
      <c r="A385" s="78">
        <v>40372</v>
      </c>
      <c r="B385" s="37">
        <v>77.159999999999982</v>
      </c>
      <c r="C385" s="37">
        <v>76.450000000000003</v>
      </c>
      <c r="N385">
        <f/>
        <v>-0.44403334887650192</v>
      </c>
    </row>
    <row r="386">
      <c r="A386" s="78">
        <v>40373</v>
      </c>
      <c r="B386" s="37">
        <v>77.019999999999982</v>
      </c>
      <c r="C386" s="37">
        <v>76.629999999999981</v>
      </c>
      <c r="N386">
        <f/>
        <v>-0.12896279625771001</v>
      </c>
    </row>
    <row r="387">
      <c r="A387" s="78">
        <v>40374</v>
      </c>
      <c r="B387" s="37">
        <v>76.670000000000002</v>
      </c>
      <c r="C387" s="37">
        <v>75.519999999999982</v>
      </c>
      <c r="N387">
        <f/>
        <v>-0.90128641471059701</v>
      </c>
    </row>
    <row r="388">
      <c r="A388" s="78">
        <v>40375</v>
      </c>
      <c r="B388" s="37">
        <v>75.959999999999994</v>
      </c>
      <c r="C388" s="37">
        <v>75.549999999999983</v>
      </c>
      <c r="N388">
        <f/>
        <v>-0.186285755000796</v>
      </c>
    </row>
    <row r="389">
      <c r="A389" s="78">
        <v>40378</v>
      </c>
      <c r="B389" s="37">
        <v>76.530000000000001</v>
      </c>
      <c r="C389" s="37">
        <v>76.290000000000006</v>
      </c>
      <c r="N389">
        <f/>
        <v>3.7841379082119999e-03</v>
      </c>
    </row>
    <row r="390">
      <c r="A390" s="78">
        <v>40379</v>
      </c>
      <c r="B390" s="37">
        <v>77.319999999999979</v>
      </c>
      <c r="C390" s="37">
        <v>76.310000000000002</v>
      </c>
      <c r="N390">
        <f/>
        <v>-0.73839969472659595</v>
      </c>
    </row>
    <row r="391">
      <c r="A391" s="78">
        <v>40380</v>
      </c>
      <c r="B391" s="37">
        <v>76.269999999999982</v>
      </c>
      <c r="C391" s="37">
        <v>75.75</v>
      </c>
      <c r="N391">
        <f/>
        <v>-0.28537055008540302</v>
      </c>
    </row>
    <row r="392">
      <c r="A392" s="78">
        <v>40381</v>
      </c>
      <c r="B392" s="37">
        <v>79.010000000000005</v>
      </c>
      <c r="C392" s="37">
        <v>77.590000000000003</v>
      </c>
      <c r="N392">
        <f/>
        <v>-1.0888942227681999</v>
      </c>
    </row>
    <row r="393">
      <c r="A393" s="78">
        <v>40382</v>
      </c>
      <c r="B393" s="37">
        <v>78.680000000000007</v>
      </c>
      <c r="C393" s="37">
        <v>77.269999999999982</v>
      </c>
      <c r="N393">
        <f/>
        <v>-1.09051363445241</v>
      </c>
    </row>
    <row r="394">
      <c r="A394" s="78">
        <v>40385</v>
      </c>
      <c r="B394" s="37">
        <v>78.930000000000007</v>
      </c>
      <c r="C394" s="37">
        <v>77.900000000000006</v>
      </c>
      <c r="N394">
        <f/>
        <v>-0.70171104984309796</v>
      </c>
    </row>
    <row r="395">
      <c r="A395" s="78">
        <v>40386</v>
      </c>
      <c r="B395" s="37">
        <v>77.459999999999994</v>
      </c>
      <c r="C395" s="37">
        <v>75.519999999999982</v>
      </c>
      <c r="N395">
        <f/>
        <v>-1.6634702473453999</v>
      </c>
    </row>
    <row r="396">
      <c r="A396" s="78">
        <v>40387</v>
      </c>
      <c r="B396" s="37">
        <v>77.060000000000002</v>
      </c>
      <c r="C396" s="37">
        <v>76.659999999999982</v>
      </c>
      <c r="N396">
        <f/>
        <v>-0.13755438272019699</v>
      </c>
    </row>
    <row r="397">
      <c r="A397" s="78">
        <v>40388</v>
      </c>
      <c r="B397" s="37">
        <v>78.299999999999983</v>
      </c>
      <c r="C397" s="37">
        <v>78.59999999999998</v>
      </c>
      <c r="N397">
        <f/>
        <v>0.60610643694158695</v>
      </c>
    </row>
    <row r="398">
      <c r="A398" s="78">
        <v>40389</v>
      </c>
      <c r="B398" s="37">
        <v>78.84999999999998</v>
      </c>
      <c r="C398" s="37">
        <v>77.5</v>
      </c>
      <c r="N398">
        <f/>
        <v>-1.0245278769181001</v>
      </c>
    </row>
    <row r="399">
      <c r="A399" s="78">
        <v>40392</v>
      </c>
      <c r="B399" s="37">
        <v>81.25</v>
      </c>
      <c r="C399" s="37">
        <v>81.930000000000007</v>
      </c>
      <c r="N399">
        <f/>
        <v>1.0899769353306099</v>
      </c>
    </row>
    <row r="400">
      <c r="A400" s="78">
        <v>40393</v>
      </c>
      <c r="B400" s="37">
        <v>82.519999999999982</v>
      </c>
      <c r="C400" s="37">
        <v>83.59999999999998</v>
      </c>
      <c r="N400">
        <f/>
        <v>1.5346940651454899</v>
      </c>
    </row>
    <row r="401">
      <c r="A401" s="78">
        <v>40394</v>
      </c>
      <c r="B401" s="37">
        <v>82.489999999999981</v>
      </c>
      <c r="C401" s="37">
        <v>83.760000000000005</v>
      </c>
      <c r="N401">
        <f/>
        <v>1.72363775499241</v>
      </c>
    </row>
    <row r="402">
      <c r="A402" s="78">
        <v>40395</v>
      </c>
      <c r="B402" s="37">
        <v>82</v>
      </c>
      <c r="C402" s="37">
        <v>82.900000000000006</v>
      </c>
      <c r="N402">
        <f/>
        <v>1.33638468915831</v>
      </c>
    </row>
    <row r="403">
      <c r="A403" s="78">
        <v>40396</v>
      </c>
      <c r="B403" s="37">
        <v>80.670000000000002</v>
      </c>
      <c r="C403" s="37">
        <v>81.280000000000001</v>
      </c>
      <c r="N403">
        <f/>
        <v>0.99955493903709702</v>
      </c>
    </row>
    <row r="404">
      <c r="A404" s="78">
        <v>40399</v>
      </c>
      <c r="B404" s="37">
        <v>81.459999999999994</v>
      </c>
      <c r="C404" s="37">
        <v>81.540000000000006</v>
      </c>
      <c r="N404">
        <f/>
        <v>0.49737110640231197</v>
      </c>
    </row>
    <row r="405">
      <c r="A405" s="78">
        <v>40400</v>
      </c>
      <c r="B405" s="37">
        <v>80.239999999999981</v>
      </c>
      <c r="C405" s="37">
        <v>79.890000000000001</v>
      </c>
      <c r="N405">
        <f/>
        <v>2.4414493509297999e-02</v>
      </c>
    </row>
    <row r="406">
      <c r="A406" s="78">
        <v>40401</v>
      </c>
      <c r="B406" s="37">
        <v>78.090000000000003</v>
      </c>
      <c r="C406" s="37">
        <v>77.829999999999998</v>
      </c>
      <c r="N406">
        <f/>
        <v>3.8712265869805002e-02</v>
      </c>
    </row>
    <row r="407">
      <c r="A407" s="78">
        <v>40402</v>
      </c>
      <c r="B407" s="37">
        <v>75.680000000000007</v>
      </c>
      <c r="C407" s="37">
        <v>76.629999999999981</v>
      </c>
      <c r="N407">
        <f/>
        <v>1.1638553502368001</v>
      </c>
    </row>
    <row r="408">
      <c r="A408" s="78">
        <v>40403</v>
      </c>
      <c r="B408" s="37">
        <v>75.390000000000001</v>
      </c>
      <c r="C408" s="37">
        <v>75.140000000000001</v>
      </c>
      <c r="N408">
        <f/>
        <v>-4.6355647909904991e-02</v>
      </c>
    </row>
    <row r="409">
      <c r="A409" s="78">
        <v>40406</v>
      </c>
      <c r="B409" s="37">
        <v>75.170000000000002</v>
      </c>
      <c r="C409" s="37">
        <v>74.560000000000002</v>
      </c>
      <c r="N409">
        <f/>
        <v>-0.41410192236600107</v>
      </c>
    </row>
    <row r="410">
      <c r="A410" s="78">
        <v>40407</v>
      </c>
      <c r="B410" s="37">
        <v>75.760000000000005</v>
      </c>
      <c r="C410" s="37">
        <v>76.739999999999981</v>
      </c>
      <c r="N410">
        <f/>
        <v>1.1966721773116999</v>
      </c>
    </row>
    <row r="411">
      <c r="A411" s="78">
        <v>40408</v>
      </c>
      <c r="B411" s="37">
        <v>75.390000000000001</v>
      </c>
      <c r="C411" s="37">
        <v>75.09999999999998</v>
      </c>
      <c r="N411">
        <f/>
        <v>-8.6355647909912001e-02</v>
      </c>
    </row>
    <row r="412">
      <c r="A412" s="78">
        <v>40409</v>
      </c>
      <c r="B412" s="37">
        <v>74.450000000000003</v>
      </c>
      <c r="C412" s="37">
        <v>74.840000000000003</v>
      </c>
      <c r="N412">
        <f/>
        <v>0.56054663395940496</v>
      </c>
    </row>
    <row r="413">
      <c r="A413" s="78">
        <v>40410</v>
      </c>
      <c r="B413" s="37">
        <v>73.450000000000003</v>
      </c>
      <c r="C413" s="37">
        <v>73.480000000000004</v>
      </c>
      <c r="N413">
        <f/>
        <v>0.165336295522408</v>
      </c>
    </row>
    <row r="414">
      <c r="A414" s="78">
        <v>40413</v>
      </c>
      <c r="B414" s="37">
        <v>72.709999999999994</v>
      </c>
      <c r="C414" s="37">
        <v>73.079999999999998</v>
      </c>
      <c r="N414">
        <f/>
        <v>0.47928064507910106</v>
      </c>
    </row>
    <row r="415">
      <c r="A415" s="78">
        <v>40414</v>
      </c>
      <c r="B415" s="37">
        <v>71.239999999999995</v>
      </c>
      <c r="C415" s="37">
        <v>70.609999999999999</v>
      </c>
      <c r="N415">
        <f/>
        <v>-0.572478552423206</v>
      </c>
    </row>
    <row r="416">
      <c r="A416" s="78">
        <v>40415</v>
      </c>
      <c r="B416" s="37">
        <v>72.069999999999979</v>
      </c>
      <c r="C416" s="37">
        <v>70.739999999999995</v>
      </c>
      <c r="N416">
        <f/>
        <v>-1.2432539715205</v>
      </c>
    </row>
    <row r="417">
      <c r="A417" s="78">
        <v>40416</v>
      </c>
      <c r="B417" s="37">
        <v>73.359999999999999</v>
      </c>
      <c r="C417" s="37">
        <v>74.5</v>
      </c>
      <c r="N417">
        <f/>
        <v>1.2721673650631</v>
      </c>
    </row>
    <row r="418">
      <c r="A418" s="78">
        <v>40417</v>
      </c>
      <c r="B418" s="37">
        <v>75.170000000000002</v>
      </c>
      <c r="C418" s="37">
        <v>75.159999999999982</v>
      </c>
      <c r="N418">
        <f/>
        <v>0.18589807763399299</v>
      </c>
    </row>
    <row r="419">
      <c r="A419" s="78">
        <v>40420</v>
      </c>
      <c r="B419" s="37">
        <v>74.689999999999984</v>
      </c>
      <c r="C419" s="37">
        <v>76.049999999999983</v>
      </c>
      <c r="N419">
        <f/>
        <v>1.5389971151841999</v>
      </c>
    </row>
    <row r="420">
      <c r="A420" s="78">
        <v>40421</v>
      </c>
      <c r="B420" s="37">
        <v>71.930000000000007</v>
      </c>
      <c r="C420" s="37">
        <v>75.510000000000005</v>
      </c>
      <c r="N420">
        <f/>
        <v>3.6618165810983099</v>
      </c>
    </row>
    <row r="421">
      <c r="A421" s="78">
        <v>40422</v>
      </c>
      <c r="B421" s="37">
        <v>73.969999999999999</v>
      </c>
      <c r="C421" s="37">
        <v>75.530000000000001</v>
      </c>
      <c r="N421">
        <f/>
        <v>1.7136456715096</v>
      </c>
    </row>
    <row r="422">
      <c r="A422" s="78">
        <v>40423</v>
      </c>
      <c r="B422" s="37">
        <v>74.989999999999981</v>
      </c>
      <c r="C422" s="37">
        <v>74.930000000000007</v>
      </c>
      <c r="N422">
        <f/>
        <v>0.12956021671530499</v>
      </c>
    </row>
    <row r="423">
      <c r="A423" s="78">
        <v>40424</v>
      </c>
      <c r="B423" s="37">
        <v>74.519999999999982</v>
      </c>
      <c r="C423" s="37">
        <v>75.030000000000001</v>
      </c>
      <c r="N423">
        <f/>
        <v>0.68301135765000298</v>
      </c>
    </row>
    <row r="424">
      <c r="A424" s="78">
        <v>40428</v>
      </c>
      <c r="B424" s="37">
        <v>73.980000000000004</v>
      </c>
      <c r="C424" s="37">
        <v>75.780000000000001</v>
      </c>
      <c r="N424">
        <f/>
        <v>1.9539977748940101</v>
      </c>
    </row>
    <row r="425">
      <c r="A425" s="78">
        <v>40429</v>
      </c>
      <c r="B425" s="37">
        <v>74.650000000000006</v>
      </c>
      <c r="C425" s="37">
        <v>77.480000000000004</v>
      </c>
      <c r="N425">
        <f/>
        <v>3.0075887016467102</v>
      </c>
    </row>
    <row r="426">
      <c r="A426" s="78">
        <v>40430</v>
      </c>
      <c r="B426" s="37">
        <v>74.25</v>
      </c>
      <c r="C426" s="37">
        <v>77.870000000000005</v>
      </c>
      <c r="N426">
        <f/>
        <v>3.7835045662720002</v>
      </c>
    </row>
    <row r="427">
      <c r="A427" s="78">
        <v>40431</v>
      </c>
      <c r="B427" s="37">
        <v>76.400000000000006</v>
      </c>
      <c r="C427" s="37">
        <v>77.540000000000006</v>
      </c>
      <c r="N427">
        <f/>
        <v>1.3792067939114101</v>
      </c>
    </row>
    <row r="428">
      <c r="A428" s="78">
        <v>40434</v>
      </c>
      <c r="B428" s="37">
        <v>77.170000000000002</v>
      </c>
      <c r="C428" s="37">
        <v>78.519999999999982</v>
      </c>
      <c r="N428">
        <f/>
        <v>1.6163187545077999</v>
      </c>
    </row>
    <row r="429">
      <c r="A429" s="78">
        <v>40435</v>
      </c>
      <c r="B429" s="37">
        <v>76.780000000000001</v>
      </c>
      <c r="C429" s="37">
        <v>78.890000000000001</v>
      </c>
      <c r="N429">
        <f/>
        <v>2.3625867225174102</v>
      </c>
    </row>
    <row r="430">
      <c r="A430" s="78">
        <v>40436</v>
      </c>
      <c r="B430" s="37">
        <v>75.920000000000002</v>
      </c>
      <c r="C430" s="37">
        <v>78.459999999999994</v>
      </c>
      <c r="N430">
        <f/>
        <v>2.7623058314616902</v>
      </c>
    </row>
    <row r="431">
      <c r="A431" s="78">
        <v>40437</v>
      </c>
      <c r="B431" s="37">
        <v>74.579999999999998</v>
      </c>
      <c r="C431" s="37">
        <v>78.890000000000001</v>
      </c>
      <c r="N431">
        <f/>
        <v>4.48512397795621</v>
      </c>
    </row>
    <row r="432">
      <c r="A432" s="78">
        <v>40438</v>
      </c>
      <c r="B432" s="37">
        <v>73.629999999999981</v>
      </c>
      <c r="C432" s="37">
        <v>77.430000000000007</v>
      </c>
      <c r="N432">
        <f/>
        <v>3.9416741564411102</v>
      </c>
    </row>
    <row r="433">
      <c r="A433" s="78">
        <v>40441</v>
      </c>
      <c r="B433" s="37">
        <v>74.810000000000002</v>
      </c>
      <c r="C433" s="37">
        <v>79.420000000000002</v>
      </c>
      <c r="N433">
        <f/>
        <v>4.7932223557966998</v>
      </c>
    </row>
    <row r="434">
      <c r="A434" s="78">
        <v>40442</v>
      </c>
      <c r="B434" s="37">
        <v>72.959999999999994</v>
      </c>
      <c r="C434" s="37">
        <v>78.760000000000005</v>
      </c>
      <c r="N434">
        <f/>
        <v>5.9180832296883104</v>
      </c>
    </row>
    <row r="435">
      <c r="A435" s="78">
        <v>40443</v>
      </c>
      <c r="B435" s="37">
        <v>72.980000000000004</v>
      </c>
      <c r="C435" s="37">
        <v>77.290000000000006</v>
      </c>
      <c r="N435">
        <f/>
        <v>4.4287874364570996</v>
      </c>
    </row>
    <row r="436">
      <c r="A436" s="78">
        <v>40444</v>
      </c>
      <c r="B436" s="37">
        <v>73.400000000000006</v>
      </c>
      <c r="C436" s="37">
        <v>77.689999999999984</v>
      </c>
      <c r="N436">
        <f/>
        <v>4.4235757786005898</v>
      </c>
    </row>
    <row r="437">
      <c r="A437" s="78">
        <v>40445</v>
      </c>
      <c r="B437" s="37">
        <v>74.629999999999981</v>
      </c>
      <c r="C437" s="37">
        <v>78.730000000000004</v>
      </c>
      <c r="N437">
        <f/>
        <v>4.2768844948780096</v>
      </c>
    </row>
    <row r="438">
      <c r="A438" s="78">
        <v>40448</v>
      </c>
      <c r="B438" s="37">
        <v>76.510000000000005</v>
      </c>
      <c r="C438" s="37">
        <v>77.709999999999994</v>
      </c>
      <c r="N438">
        <f/>
        <v>1.44307993113949</v>
      </c>
    </row>
    <row r="439">
      <c r="A439" s="78">
        <v>40449</v>
      </c>
      <c r="B439" s="37">
        <v>76.150000000000006</v>
      </c>
      <c r="C439" s="37">
        <v>79.140000000000001</v>
      </c>
      <c r="N439">
        <f/>
        <v>3.2204042093021998</v>
      </c>
    </row>
    <row r="440">
      <c r="A440" s="78">
        <v>40450</v>
      </c>
      <c r="B440" s="37">
        <v>77.84999999999998</v>
      </c>
      <c r="C440" s="37">
        <v>78.790000000000006</v>
      </c>
      <c r="N440">
        <f/>
        <v>1.2302617846450099</v>
      </c>
    </row>
    <row r="441">
      <c r="A441" s="78">
        <v>40451</v>
      </c>
      <c r="B441" s="37">
        <v>79.950000000000003</v>
      </c>
      <c r="C441" s="37">
        <v>80.769999999999982</v>
      </c>
      <c r="N441">
        <f/>
        <v>1.1842034953625</v>
      </c>
    </row>
    <row r="442">
      <c r="A442" s="78">
        <v>40452</v>
      </c>
      <c r="B442" s="37">
        <v>81.569999999999979</v>
      </c>
      <c r="C442" s="37">
        <v>82.689999999999984</v>
      </c>
      <c r="N442">
        <f/>
        <v>1.5412442436303999</v>
      </c>
    </row>
    <row r="443">
      <c r="A443" s="78">
        <v>40455</v>
      </c>
      <c r="B443" s="37">
        <v>81.430000000000007</v>
      </c>
      <c r="C443" s="37">
        <v>83.420000000000002</v>
      </c>
      <c r="N443">
        <f/>
        <v>2.4063147962492102</v>
      </c>
    </row>
    <row r="444">
      <c r="A444" s="78">
        <v>40456</v>
      </c>
      <c r="B444" s="37">
        <v>82.829999999999998</v>
      </c>
      <c r="C444" s="37">
        <v>83.34999999999998</v>
      </c>
      <c r="N444">
        <f/>
        <v>0.98560927006089094</v>
      </c>
    </row>
    <row r="445">
      <c r="A445" s="78">
        <v>40457</v>
      </c>
      <c r="B445" s="37">
        <v>83.209999999999994</v>
      </c>
      <c r="C445" s="37">
        <v>85.010000000000005</v>
      </c>
      <c r="N445">
        <f/>
        <v>2.2789891986670101</v>
      </c>
    </row>
    <row r="446">
      <c r="A446" s="78">
        <v>40458</v>
      </c>
      <c r="B446" s="37">
        <v>81.340000000000003</v>
      </c>
      <c r="C446" s="37">
        <v>83.670000000000002</v>
      </c>
      <c r="N446">
        <f/>
        <v>2.7431458657898999</v>
      </c>
    </row>
    <row r="447">
      <c r="A447" s="78">
        <v>40459</v>
      </c>
      <c r="B447" s="37">
        <v>82.659999999999982</v>
      </c>
      <c r="C447" s="37">
        <v>83.879999999999981</v>
      </c>
      <c r="N447">
        <f/>
        <v>1.6796235125266901</v>
      </c>
    </row>
    <row r="448">
      <c r="A448" s="78">
        <v>40462</v>
      </c>
      <c r="B448" s="37">
        <v>82.180000000000007</v>
      </c>
      <c r="C448" s="37">
        <v>83.079999999999998</v>
      </c>
      <c r="N448">
        <f/>
        <v>1.3427225500769</v>
      </c>
    </row>
    <row r="449">
      <c r="A449" s="78">
        <v>40463</v>
      </c>
      <c r="B449" s="37">
        <v>81.670000000000002</v>
      </c>
      <c r="C449" s="37">
        <v>82.989999999999981</v>
      </c>
      <c r="N449">
        <f/>
        <v>1.7447652774741</v>
      </c>
    </row>
    <row r="450">
      <c r="A450" s="78">
        <v>40464</v>
      </c>
      <c r="B450" s="37">
        <v>83.030000000000001</v>
      </c>
      <c r="C450" s="37">
        <v>84.010000000000005</v>
      </c>
      <c r="N450">
        <f/>
        <v>1.4526513377483099</v>
      </c>
    </row>
    <row r="451">
      <c r="A451" s="78">
        <v>40465</v>
      </c>
      <c r="B451" s="37">
        <v>82.709999999999994</v>
      </c>
      <c r="C451" s="37">
        <v>83.549999999999983</v>
      </c>
      <c r="N451">
        <f/>
        <v>1.3013840294485</v>
      </c>
    </row>
    <row r="452">
      <c r="A452" s="78">
        <v>40466</v>
      </c>
      <c r="B452" s="37">
        <v>81.230000000000004</v>
      </c>
      <c r="C452" s="37">
        <v>81.939999999999984</v>
      </c>
      <c r="N452">
        <f/>
        <v>1.1192727285618</v>
      </c>
    </row>
    <row r="453">
      <c r="A453" s="78">
        <v>40469</v>
      </c>
      <c r="B453" s="37">
        <v>83.060000000000002</v>
      </c>
      <c r="C453" s="37">
        <v>82.299999999999983</v>
      </c>
      <c r="N453">
        <f/>
        <v>-0.28629235209859899</v>
      </c>
    </row>
    <row r="454">
      <c r="A454" s="78">
        <v>40470</v>
      </c>
      <c r="B454" s="37">
        <v>79.569999999999979</v>
      </c>
      <c r="C454" s="37">
        <v>81.120000000000005</v>
      </c>
      <c r="N454">
        <f/>
        <v>1.9008235667565001</v>
      </c>
    </row>
    <row r="455">
      <c r="A455" s="78">
        <v>40471</v>
      </c>
      <c r="B455" s="37">
        <v>81.930000000000007</v>
      </c>
      <c r="C455" s="37">
        <v>81.680000000000007</v>
      </c>
      <c r="N455">
        <f/>
        <v>0.183919965467709</v>
      </c>
    </row>
    <row r="456">
      <c r="A456" s="78">
        <v>40472</v>
      </c>
      <c r="B456" s="37">
        <v>80.030000000000001</v>
      </c>
      <c r="C456" s="37">
        <v>81.280000000000001</v>
      </c>
      <c r="N456">
        <f/>
        <v>1.6170203224374999</v>
      </c>
    </row>
    <row r="457">
      <c r="A457" s="78">
        <v>40473</v>
      </c>
      <c r="B457" s="37">
        <v>81.150000000000006</v>
      </c>
      <c r="C457" s="37">
        <v>80.75</v>
      </c>
      <c r="N457">
        <f/>
        <v>6.4559014869019996e-03</v>
      </c>
    </row>
    <row r="458">
      <c r="A458" s="78">
        <v>40476</v>
      </c>
      <c r="B458" s="37">
        <v>82</v>
      </c>
      <c r="C458" s="37">
        <v>81.909999999999982</v>
      </c>
      <c r="N458">
        <f/>
        <v>0.34638468915829901</v>
      </c>
    </row>
    <row r="459">
      <c r="A459" s="78">
        <v>40477</v>
      </c>
      <c r="B459" s="37">
        <v>82.59999999999998</v>
      </c>
      <c r="C459" s="37">
        <v>82.620000000000005</v>
      </c>
      <c r="N459">
        <f/>
        <v>0.47751089222040799</v>
      </c>
    </row>
    <row r="460">
      <c r="A460" s="78">
        <v>40478</v>
      </c>
      <c r="B460" s="37">
        <v>81.900000000000006</v>
      </c>
      <c r="C460" s="37">
        <v>81.269999999999982</v>
      </c>
      <c r="N460">
        <f/>
        <v>-0.197136344685404</v>
      </c>
    </row>
    <row r="461">
      <c r="A461" s="78">
        <v>40479</v>
      </c>
      <c r="B461" s="37">
        <v>82.200000000000003</v>
      </c>
      <c r="C461" s="37">
        <v>82.969999999999999</v>
      </c>
      <c r="N461">
        <f/>
        <v>1.21342675684569</v>
      </c>
    </row>
    <row r="462">
      <c r="A462" s="78">
        <v>40480</v>
      </c>
      <c r="B462" s="37">
        <v>81.450000000000003</v>
      </c>
      <c r="C462" s="37">
        <v>82.469999999999999</v>
      </c>
      <c r="N462">
        <f/>
        <v>1.43701900301789</v>
      </c>
    </row>
    <row r="463">
      <c r="A463" s="78">
        <v>40483</v>
      </c>
      <c r="B463" s="37">
        <v>82.939999999999984</v>
      </c>
      <c r="C463" s="37">
        <v>84.060000000000002</v>
      </c>
      <c r="N463">
        <f/>
        <v>1.5894824072889999</v>
      </c>
    </row>
    <row r="464">
      <c r="A464" s="78">
        <v>40484</v>
      </c>
      <c r="B464" s="37">
        <v>83.909999999999982</v>
      </c>
      <c r="C464" s="37">
        <v>84.709999999999994</v>
      </c>
      <c r="N464">
        <f/>
        <v>1.3036364355728001</v>
      </c>
    </row>
    <row r="465">
      <c r="A465" s="78">
        <v>40485</v>
      </c>
      <c r="B465" s="37">
        <v>84.450000000000003</v>
      </c>
      <c r="C465" s="37">
        <v>85.329999999999998</v>
      </c>
      <c r="N465">
        <f/>
        <v>1.4026500183288</v>
      </c>
    </row>
    <row r="466">
      <c r="A466" s="78">
        <v>40486</v>
      </c>
      <c r="B466" s="37">
        <v>86.489999999999981</v>
      </c>
      <c r="C466" s="37">
        <v>86.829999999999998</v>
      </c>
      <c r="N466">
        <f/>
        <v>0.93447910874009188</v>
      </c>
    </row>
    <row r="467">
      <c r="A467" s="78">
        <v>40487</v>
      </c>
      <c r="B467" s="37">
        <v>86.84999999999998</v>
      </c>
      <c r="C467" s="37">
        <v>87.049999999999983</v>
      </c>
      <c r="N467">
        <f/>
        <v>0.807154830577403</v>
      </c>
    </row>
    <row r="468">
      <c r="A468" s="78">
        <v>40490</v>
      </c>
      <c r="B468" s="37">
        <v>87.069999999999993</v>
      </c>
      <c r="C468" s="37">
        <v>87.150000000000006</v>
      </c>
      <c r="N468">
        <f/>
        <v>0.69490110503350899</v>
      </c>
    </row>
    <row r="469">
      <c r="A469" s="78">
        <v>40491</v>
      </c>
      <c r="B469" s="37">
        <v>87.040000000000006</v>
      </c>
      <c r="C469" s="37">
        <v>87.930000000000007</v>
      </c>
      <c r="N469">
        <f/>
        <v>1.5038447948804099</v>
      </c>
    </row>
    <row r="470">
      <c r="A470" s="78">
        <v>40492</v>
      </c>
      <c r="B470" s="37">
        <v>87.769999999999982</v>
      </c>
      <c r="C470" s="37">
        <v>87.920000000000002</v>
      </c>
      <c r="N470">
        <f/>
        <v>0.78954834193940804</v>
      </c>
    </row>
    <row r="471">
      <c r="A471" s="78">
        <v>40493</v>
      </c>
      <c r="B471" s="37">
        <v>87.769999999999982</v>
      </c>
      <c r="C471" s="37">
        <v>88.079999999999998</v>
      </c>
      <c r="N471">
        <f/>
        <v>0.94954834193940507</v>
      </c>
    </row>
    <row r="472">
      <c r="A472" s="78">
        <v>40494</v>
      </c>
      <c r="B472" s="37">
        <v>84.890000000000001</v>
      </c>
      <c r="C472" s="37">
        <v>86.069999999999993</v>
      </c>
      <c r="N472">
        <f/>
        <v>1.71814256724099</v>
      </c>
    </row>
    <row r="473">
      <c r="A473" s="78">
        <v>40497</v>
      </c>
      <c r="B473" s="37">
        <v>84.879999999999981</v>
      </c>
      <c r="C473" s="37">
        <v>85.489999999999981</v>
      </c>
      <c r="N473">
        <f/>
        <v>1.14779046385669</v>
      </c>
    </row>
    <row r="474">
      <c r="A474" s="78">
        <v>40498</v>
      </c>
      <c r="B474" s="37">
        <v>82.329999999999998</v>
      </c>
      <c r="C474" s="37">
        <v>83.980000000000004</v>
      </c>
      <c r="N474">
        <f/>
        <v>2.0980041008425001</v>
      </c>
    </row>
    <row r="475">
      <c r="A475" s="78">
        <v>40499</v>
      </c>
      <c r="B475" s="37">
        <v>80.430000000000007</v>
      </c>
      <c r="C475" s="37">
        <v>83.359999999999999</v>
      </c>
      <c r="N475">
        <f/>
        <v>3.3111044578123101</v>
      </c>
    </row>
    <row r="476">
      <c r="A476" s="78">
        <v>40500</v>
      </c>
      <c r="B476" s="37">
        <v>81.879999999999981</v>
      </c>
      <c r="C476" s="37">
        <v>83.700000000000003</v>
      </c>
      <c r="N476">
        <f/>
        <v>2.2521594485458998</v>
      </c>
    </row>
    <row r="477">
      <c r="A477" s="78">
        <v>40501</v>
      </c>
      <c r="B477" s="37">
        <v>81.650000000000006</v>
      </c>
      <c r="C477" s="37">
        <v>83.170000000000002</v>
      </c>
      <c r="N477">
        <f/>
        <v>1.9440610707053001</v>
      </c>
    </row>
    <row r="478">
      <c r="A478" s="78">
        <v>40504</v>
      </c>
      <c r="B478" s="37">
        <v>81.239999999999981</v>
      </c>
      <c r="C478" s="37">
        <v>82.340000000000003</v>
      </c>
      <c r="N478">
        <f/>
        <v>1.5096248319462</v>
      </c>
    </row>
    <row r="479">
      <c r="A479" s="78">
        <v>40505</v>
      </c>
      <c r="B479" s="37">
        <v>80.790000000000006</v>
      </c>
      <c r="C479" s="37">
        <v>82.370000000000005</v>
      </c>
      <c r="N479">
        <f/>
        <v>1.9737801796496099</v>
      </c>
    </row>
    <row r="480">
      <c r="A480" s="78">
        <v>40506</v>
      </c>
      <c r="B480" s="37">
        <v>83.209999999999994</v>
      </c>
      <c r="C480" s="37">
        <v>84.530000000000001</v>
      </c>
      <c r="N480">
        <f/>
        <v>1.7989891986669999</v>
      </c>
    </row>
    <row r="481">
      <c r="A481" s="78">
        <v>40508</v>
      </c>
      <c r="B481" s="37">
        <v>83.870000000000005</v>
      </c>
      <c r="C481" s="37">
        <v>84.780000000000001</v>
      </c>
      <c r="N481">
        <f/>
        <v>1.4122280220353101</v>
      </c>
    </row>
    <row r="482">
      <c r="A482" s="78">
        <v>40511</v>
      </c>
      <c r="B482" s="37">
        <v>85.730000000000004</v>
      </c>
      <c r="C482" s="37">
        <v>85.900000000000006</v>
      </c>
      <c r="N482">
        <f/>
        <v>0.73771925152800599</v>
      </c>
    </row>
    <row r="483">
      <c r="A483" s="78">
        <v>40512</v>
      </c>
      <c r="B483" s="37">
        <v>84.120000000000005</v>
      </c>
      <c r="C483" s="37">
        <v>86.019999999999982</v>
      </c>
      <c r="N483">
        <f/>
        <v>2.4110306066446001</v>
      </c>
    </row>
    <row r="484">
      <c r="A484" s="78">
        <v>40513</v>
      </c>
      <c r="B484" s="37">
        <v>86.75</v>
      </c>
      <c r="C484" s="37">
        <v>88.560000000000002</v>
      </c>
      <c r="N484">
        <f/>
        <v>2.41363379673371</v>
      </c>
    </row>
    <row r="485">
      <c r="A485" s="78">
        <v>40514</v>
      </c>
      <c r="B485" s="37">
        <v>87.980000000000004</v>
      </c>
      <c r="C485" s="37">
        <v>89.370000000000005</v>
      </c>
      <c r="N485">
        <f/>
        <v>2.0369425130112</v>
      </c>
    </row>
    <row r="486">
      <c r="A486" s="78">
        <v>40515</v>
      </c>
      <c r="B486" s="37">
        <v>89.180000000000007</v>
      </c>
      <c r="C486" s="37">
        <v>90.650000000000006</v>
      </c>
      <c r="N486">
        <f/>
        <v>2.1591949191355</v>
      </c>
    </row>
    <row r="487">
      <c r="A487" s="78">
        <v>40518</v>
      </c>
      <c r="B487" s="37">
        <v>89.329999999999998</v>
      </c>
      <c r="C487" s="37">
        <v>91.25</v>
      </c>
      <c r="N487">
        <f/>
        <v>2.6144764699010099</v>
      </c>
    </row>
    <row r="488">
      <c r="A488" s="78">
        <v>40519</v>
      </c>
      <c r="B488" s="37">
        <v>88.689999999999984</v>
      </c>
      <c r="C488" s="37">
        <v>90.780000000000001</v>
      </c>
      <c r="N488">
        <f/>
        <v>2.7619418533013902</v>
      </c>
    </row>
    <row r="489">
      <c r="A489" s="78">
        <v>40520</v>
      </c>
      <c r="B489" s="37">
        <v>88.299999999999983</v>
      </c>
      <c r="C489" s="37">
        <v>89.739999999999981</v>
      </c>
      <c r="N489">
        <f/>
        <v>2.0982098213109901</v>
      </c>
    </row>
    <row r="490">
      <c r="A490" s="78">
        <v>40521</v>
      </c>
      <c r="B490" s="37">
        <v>88.34999999999998</v>
      </c>
      <c r="C490" s="37">
        <v>89.930000000000007</v>
      </c>
      <c r="N490">
        <f/>
        <v>2.2399703382328102</v>
      </c>
    </row>
    <row r="491">
      <c r="A491" s="78">
        <v>40522</v>
      </c>
      <c r="B491" s="37">
        <v>87.810000000000002</v>
      </c>
      <c r="C491" s="37">
        <v>89.540000000000006</v>
      </c>
      <c r="N491">
        <f/>
        <v>2.37095675547691</v>
      </c>
    </row>
    <row r="492">
      <c r="A492" s="78">
        <v>40525</v>
      </c>
      <c r="B492" s="37">
        <v>88.620000000000005</v>
      </c>
      <c r="C492" s="37">
        <v>90.400000000000006</v>
      </c>
      <c r="N492">
        <f/>
        <v>2.44947712961081</v>
      </c>
    </row>
    <row r="493">
      <c r="A493" s="78">
        <v>40526</v>
      </c>
      <c r="B493" s="37">
        <v>88.329999999999998</v>
      </c>
      <c r="C493" s="37">
        <v>90.629999999999995</v>
      </c>
      <c r="N493">
        <f/>
        <v>2.9592661314640898</v>
      </c>
    </row>
    <row r="494">
      <c r="A494" s="78">
        <v>40527</v>
      </c>
      <c r="B494" s="37">
        <v>88.659999999999982</v>
      </c>
      <c r="C494" s="37">
        <v>91.329999999999998</v>
      </c>
      <c r="N494">
        <f/>
        <v>3.3408855431483002</v>
      </c>
    </row>
    <row r="495">
      <c r="A495" s="78">
        <v>40528</v>
      </c>
      <c r="B495" s="37">
        <v>87.709999999999994</v>
      </c>
      <c r="C495" s="37">
        <v>91.090000000000003</v>
      </c>
      <c r="N495">
        <f/>
        <v>4.0174357216332099</v>
      </c>
    </row>
    <row r="496">
      <c r="A496" s="78">
        <v>40529</v>
      </c>
      <c r="B496" s="37">
        <v>88.019999999999982</v>
      </c>
      <c r="C496" s="37">
        <v>91.110000000000014</v>
      </c>
      <c r="N496">
        <f/>
        <v>3.7383509265487098</v>
      </c>
    </row>
    <row r="497">
      <c r="A497" s="78">
        <v>40532</v>
      </c>
      <c r="B497" s="37">
        <v>88.680000000000007</v>
      </c>
      <c r="C497" s="37">
        <v>91.310000000000002</v>
      </c>
      <c r="N497">
        <f/>
        <v>3.3015897499169999</v>
      </c>
    </row>
    <row r="498">
      <c r="A498" s="78">
        <v>40533</v>
      </c>
      <c r="B498" s="37">
        <v>89.299999999999983</v>
      </c>
      <c r="C498" s="37">
        <v>93.110000000000014</v>
      </c>
      <c r="N498">
        <f/>
        <v>4.5034201597479004</v>
      </c>
    </row>
    <row r="499">
      <c r="A499" s="78">
        <v>40534</v>
      </c>
      <c r="B499" s="37">
        <v>89.829999999999998</v>
      </c>
      <c r="C499" s="37">
        <v>93.549999999999997</v>
      </c>
      <c r="N499">
        <f/>
        <v>4.4320816391194997</v>
      </c>
    </row>
    <row r="500">
      <c r="A500" s="78">
        <v>40535</v>
      </c>
      <c r="B500" s="37">
        <v>90.840000000000003</v>
      </c>
      <c r="C500" s="37">
        <v>93.629999999999995</v>
      </c>
      <c r="N500">
        <f/>
        <v>3.5376440809407899</v>
      </c>
    </row>
    <row r="501">
      <c r="A501" s="78">
        <v>40539</v>
      </c>
      <c r="B501" s="37">
        <v>90.989999999999995</v>
      </c>
      <c r="C501" s="37">
        <v>93.079999999999998</v>
      </c>
      <c r="N501">
        <f/>
        <v>2.84292563170639</v>
      </c>
    </row>
    <row r="502">
      <c r="A502" s="78">
        <v>40540</v>
      </c>
      <c r="B502" s="37">
        <v>91.480000000000004</v>
      </c>
      <c r="C502" s="37">
        <v>93.519999999999996</v>
      </c>
      <c r="N502">
        <f/>
        <v>2.81017869754039</v>
      </c>
    </row>
    <row r="503">
      <c r="A503" s="78">
        <v>40541</v>
      </c>
      <c r="B503" s="37">
        <v>91.129999999999995</v>
      </c>
      <c r="C503" s="37">
        <v>93.519999999999996</v>
      </c>
      <c r="N503">
        <f/>
        <v>3.1478550790874902</v>
      </c>
    </row>
    <row r="504">
      <c r="A504" s="78">
        <v>40542</v>
      </c>
      <c r="B504" s="37">
        <v>89.84999999999998</v>
      </c>
      <c r="C504" s="37">
        <v>92.5</v>
      </c>
      <c r="N504">
        <f/>
        <v>3.3627858458883</v>
      </c>
    </row>
    <row r="505">
      <c r="A505" s="83">
        <v>40543</v>
      </c>
      <c r="B505" s="39">
        <v>91.379999999999995</v>
      </c>
      <c r="C505" s="39">
        <v>93.230000000000004</v>
      </c>
      <c r="N505">
        <f/>
        <v>2.6166576636968002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7.7232139999999996"/>
    <col customWidth="1" min="4" max="4" width="6.7232139999999996"/>
    <col customWidth="1" min="5" max="5" width="19.723213999999999"/>
    <col customWidth="1" min="7" max="7" width="4.5446429999999998"/>
    <col customWidth="1" min="8" max="8" width="4.8125"/>
    <col customWidth="1" min="21" max="21" width="6.2678570000000002"/>
  </cols>
  <sheetData>
    <row r="1">
      <c r="A1" s="1" t="s">
        <v>650</v>
      </c>
    </row>
    <row r="3">
      <c r="A3" s="4" t="s">
        <v>651</v>
      </c>
      <c r="B3" s="26" t="s">
        <v>652</v>
      </c>
      <c r="C3" s="4" t="s">
        <v>653</v>
      </c>
    </row>
    <row r="4">
      <c r="A4" s="84">
        <v>43101</v>
      </c>
      <c r="B4" s="15">
        <v>4.5</v>
      </c>
      <c r="C4" s="15">
        <v>15.800000000000001</v>
      </c>
      <c r="E4" t="s">
        <v>654</v>
      </c>
      <c r="U4" t="s">
        <v>655</v>
      </c>
    </row>
    <row r="5">
      <c r="A5" s="84">
        <v>43132</v>
      </c>
      <c r="B5" s="27">
        <v>4.7999999999999998</v>
      </c>
      <c r="C5" s="27">
        <v>18.199999999999999</v>
      </c>
      <c r="AB5" s="85">
        <f t="array" ref="AB5:AB22" ca="1">OFFSET(B4:B21,1,0,COUNT(B4:B21)-H8,1)</f>
        <v>4.7999999999999998</v>
      </c>
      <c r="AC5">
        <f t="array" ref="AC5:AC22" ca="1">OFFSET(C4:C21,0,0,COUNT(C4:C21)-H8,1)</f>
        <v>15.800000000000001</v>
      </c>
      <c r="AE5">
        <f>CORREL(AB5:AB21,AC5:AC21)</f>
        <v>0.32316963997696596</v>
      </c>
    </row>
    <row r="6">
      <c r="A6" s="84">
        <v>43160</v>
      </c>
      <c r="B6" s="27">
        <v>5.0999999999999996</v>
      </c>
      <c r="C6" s="27">
        <v>19.800000000000001</v>
      </c>
      <c r="E6" t="s">
        <v>656</v>
      </c>
      <c r="F6" s="7">
        <v>6</v>
      </c>
      <c r="H6" s="4" t="s">
        <v>291</v>
      </c>
      <c r="I6" s="4" t="s">
        <v>657</v>
      </c>
      <c r="U6" s="4" t="s">
        <v>291</v>
      </c>
      <c r="V6" s="4" t="s">
        <v>657</v>
      </c>
      <c r="AB6" s="85">
        <f ca="1"/>
        <v>5.0999999999999996</v>
      </c>
      <c r="AC6" s="85">
        <f ca="1"/>
        <v>18.199999999999999</v>
      </c>
    </row>
    <row r="7">
      <c r="A7" s="84">
        <v>43191</v>
      </c>
      <c r="B7" s="27">
        <v>5.9000000000000004</v>
      </c>
      <c r="C7" s="27">
        <v>22.600000000000001</v>
      </c>
      <c r="E7" t="s">
        <v>658</v>
      </c>
      <c r="F7" s="10">
        <f t="array" ref="F7">INDEX(H7:H13,MATCH(F8,ABS(I7:I13),0),1)</f>
        <v>3</v>
      </c>
      <c r="H7" s="15">
        <v>0</v>
      </c>
      <c r="I7">
        <f>CORREL(B4:B21,C4:C21)</f>
        <v>0.44823334414680904</v>
      </c>
      <c r="U7" s="15">
        <v>0</v>
      </c>
      <c r="V7">
        <f t="array" ref="V7" ca="1">CORREL(OFFSET(B$4:B$21,0,0,COUNT(B$4:B$21)-H7,1),OFFSET(C$4:C$21,H7,0,COUNT(C$4:C$21)-H7,1))</f>
        <v>0.44823334414680926</v>
      </c>
      <c r="AB7" s="85">
        <f ca="1"/>
        <v>5.9000000000000004</v>
      </c>
      <c r="AC7" s="85">
        <f ca="1"/>
        <v>19.800000000000001</v>
      </c>
    </row>
    <row r="8">
      <c r="A8" s="84">
        <v>43221</v>
      </c>
      <c r="B8" s="27">
        <v>6.7999999999999998</v>
      </c>
      <c r="C8" s="27">
        <v>24</v>
      </c>
      <c r="E8" t="s">
        <v>659</v>
      </c>
      <c r="F8" s="10">
        <f t="array" ref="F8">MAX(ABS(I7:I13))</f>
        <v>0.97133495323510188</v>
      </c>
      <c r="H8" s="15">
        <f t="shared" ref="H8:H10" si="1759">H7+1</f>
        <v>1</v>
      </c>
      <c r="I8">
        <f>CORREL(B4:B20,C5:C21)</f>
        <v>0.49090874224755793</v>
      </c>
      <c r="U8" s="15">
        <f t="shared" ref="U8:U10" si="1760">U7+1</f>
        <v>1</v>
      </c>
      <c r="V8">
        <f t="array" ref="V8" ca="1">CORREL(OFFSET(B$4:B$21,0,0,COUNT(B$4:B$21)-H8,1),OFFSET(C$4:C$21,H8,0,COUNT(C$4:C$21)-H8,1))</f>
        <v>0.49090874224755848</v>
      </c>
      <c r="AB8" s="85">
        <f ca="1"/>
        <v>6.7999999999999998</v>
      </c>
      <c r="AC8" s="85">
        <f ca="1"/>
        <v>22.600000000000001</v>
      </c>
    </row>
    <row r="9">
      <c r="A9" s="84">
        <v>43252</v>
      </c>
      <c r="B9" s="27">
        <v>8</v>
      </c>
      <c r="C9" s="27">
        <v>25.899999999999999</v>
      </c>
      <c r="E9" t="s">
        <v>660</v>
      </c>
      <c r="F9" s="10">
        <f>F7</f>
        <v>3</v>
      </c>
      <c r="H9" s="15">
        <f t="shared" si="1759"/>
        <v>2</v>
      </c>
      <c r="I9">
        <f>CORREL(B4:B19,C6:C21)</f>
        <v>0.64700788864160397</v>
      </c>
      <c r="U9" s="15">
        <f t="shared" si="1760"/>
        <v>2</v>
      </c>
      <c r="V9">
        <f t="array" ref="V9" ca="1">CORREL(OFFSET(B$4:B$21,0,0,COUNT(B$4:B$21)-H9,1),OFFSET(C$4:C$21,H9,0,COUNT(C$4:C$21)-H9,1))</f>
        <v>0.64700788864160408</v>
      </c>
      <c r="AB9" s="85">
        <f ca="1"/>
        <v>8</v>
      </c>
      <c r="AC9" s="85">
        <f ca="1"/>
        <v>24</v>
      </c>
    </row>
    <row r="10">
      <c r="A10" s="84">
        <v>43282</v>
      </c>
      <c r="B10" s="27">
        <v>6.0999999999999996</v>
      </c>
      <c r="C10" s="27">
        <v>31.600000000000001</v>
      </c>
      <c r="E10" t="s">
        <v>661</v>
      </c>
      <c r="F10" s="13">
        <f>INDEX(I7:I13,F9+1,1)</f>
        <v>0.97133495323510188</v>
      </c>
      <c r="H10" s="15">
        <f t="shared" si="1759"/>
        <v>3</v>
      </c>
      <c r="I10">
        <f>CORREL(B4:B18,C7:C21)</f>
        <v>0.97133495323510188</v>
      </c>
      <c r="U10" s="15">
        <f t="shared" si="1760"/>
        <v>3</v>
      </c>
      <c r="V10">
        <f t="array" ref="V10" ca="1">CORREL(OFFSET(B$4:B$21,0,0,COUNT(B$4:B$21)-H10,1),OFFSET(C$4:C$21,H10,0,COUNT(C$4:C$21)-H10,1))</f>
        <v>0.97133495323510133</v>
      </c>
      <c r="AB10" s="85">
        <f ca="1"/>
        <v>6.0999999999999996</v>
      </c>
      <c r="AC10" s="85">
        <f ca="1"/>
        <v>25.899999999999999</v>
      </c>
    </row>
    <row r="11">
      <c r="A11" s="84">
        <v>43313</v>
      </c>
      <c r="B11" s="27">
        <v>5.7999999999999998</v>
      </c>
      <c r="C11" s="27">
        <v>37.399999999999999</v>
      </c>
      <c r="H11" s="15">
        <f t="shared" ref="H11:H13" si="1761">H10+1</f>
        <v>4</v>
      </c>
      <c r="I11">
        <f>CORREL(B4:B17,C8:C21)</f>
        <v>0.56510952337850795</v>
      </c>
      <c r="U11" s="15">
        <f t="shared" ref="U11:U13" si="1762">U10+1</f>
        <v>4</v>
      </c>
      <c r="V11">
        <f t="array" ref="V11" ca="1">CORREL(OFFSET(B$4:B$21,0,0,COUNT(B$4:B$21)-H11,1),OFFSET(C$4:C$21,H11,0,COUNT(C$4:C$21)-H11,1))</f>
        <v>0.56510952337850839</v>
      </c>
      <c r="AB11" s="85">
        <f ca="1"/>
        <v>5.7999999999999998</v>
      </c>
      <c r="AC11" s="85">
        <f ca="1"/>
        <v>31.600000000000001</v>
      </c>
    </row>
    <row r="12">
      <c r="A12" s="84">
        <v>43344</v>
      </c>
      <c r="B12" s="27">
        <v>6.7999999999999998</v>
      </c>
      <c r="C12" s="27">
        <v>36.899999999999999</v>
      </c>
      <c r="H12" s="15">
        <f t="shared" si="1761"/>
        <v>5</v>
      </c>
      <c r="I12">
        <f>CORREL(B4:B16,C9:C21)</f>
        <v>0.11718706366885701</v>
      </c>
      <c r="U12" s="15">
        <f t="shared" si="1762"/>
        <v>5</v>
      </c>
      <c r="V12">
        <f t="array" ref="V12" ca="1">CORREL(OFFSET(B$4:B$21,0,0,COUNT(B$4:B$21)-H12,1),OFFSET(C$4:C$21,H12,0,COUNT(C$4:C$21)-H12,1))</f>
        <v>0.11718706366885713</v>
      </c>
      <c r="AB12" s="85">
        <f ca="1"/>
        <v>6.7999999999999998</v>
      </c>
      <c r="AC12" s="85">
        <f ca="1"/>
        <v>37.399999999999999</v>
      </c>
    </row>
    <row r="13">
      <c r="A13" s="84">
        <v>43374</v>
      </c>
      <c r="B13" s="27">
        <v>3.7000000000000002</v>
      </c>
      <c r="C13" s="27">
        <v>31.5</v>
      </c>
      <c r="H13" s="17">
        <f t="shared" si="1761"/>
        <v>6</v>
      </c>
      <c r="I13" s="14">
        <f>CORREL(B4:B15,C10:C21)</f>
        <v>-0.396710405248557</v>
      </c>
      <c r="U13" s="17">
        <f t="shared" si="1762"/>
        <v>6</v>
      </c>
      <c r="V13" s="14">
        <f t="array" ref="V13" ca="1">CORREL(OFFSET(B$4:B$21,0,0,COUNT(B$4:B$21)-H13,1),OFFSET(C$4:C$21,H13,0,COUNT(C$4:C$21)-H13,1))</f>
        <v>-0.39671040524855694</v>
      </c>
      <c r="AB13" s="85">
        <f ca="1"/>
        <v>3.7000000000000002</v>
      </c>
      <c r="AC13" s="85">
        <f ca="1"/>
        <v>36.899999999999999</v>
      </c>
    </row>
    <row r="14">
      <c r="A14" s="84">
        <v>43405</v>
      </c>
      <c r="B14" s="27">
        <v>4.2999999999999998</v>
      </c>
      <c r="C14" s="27">
        <v>30.899999999999999</v>
      </c>
      <c r="AB14" s="85">
        <f ca="1"/>
        <v>4.2999999999999998</v>
      </c>
      <c r="AC14" s="85">
        <f ca="1"/>
        <v>31.5</v>
      </c>
    </row>
    <row r="15">
      <c r="A15" s="84">
        <v>43435</v>
      </c>
      <c r="B15" s="27">
        <v>5.0999999999999996</v>
      </c>
      <c r="C15" s="27">
        <v>37.5</v>
      </c>
      <c r="AB15" s="85">
        <f ca="1"/>
        <v>5.0999999999999996</v>
      </c>
      <c r="AC15" s="85">
        <f ca="1"/>
        <v>30.899999999999999</v>
      </c>
    </row>
    <row r="16">
      <c r="A16" s="84">
        <v>43466</v>
      </c>
      <c r="B16" s="27">
        <v>7.9000000000000004</v>
      </c>
      <c r="C16" s="27">
        <v>20.699999999999999</v>
      </c>
      <c r="AB16" s="85">
        <f ca="1"/>
        <v>7.9000000000000004</v>
      </c>
      <c r="AC16" s="85">
        <f ca="1"/>
        <v>37.5</v>
      </c>
    </row>
    <row r="17">
      <c r="A17" s="84">
        <v>43497</v>
      </c>
      <c r="B17" s="27">
        <v>8.0999999999999979</v>
      </c>
      <c r="C17" s="27">
        <v>23.800000000000001</v>
      </c>
      <c r="AB17" s="85">
        <f ca="1"/>
        <v>8.0999999999999979</v>
      </c>
      <c r="AC17" s="85">
        <f ca="1"/>
        <v>20.699999999999999</v>
      </c>
    </row>
    <row r="18">
      <c r="A18" s="84">
        <v>43525</v>
      </c>
      <c r="B18" s="27">
        <v>8</v>
      </c>
      <c r="C18" s="27">
        <v>26.300000000000001</v>
      </c>
      <c r="AB18" s="85">
        <f ca="1"/>
        <v>8</v>
      </c>
      <c r="AC18" s="85">
        <f ca="1"/>
        <v>23.800000000000001</v>
      </c>
    </row>
    <row r="19">
      <c r="A19" s="84">
        <v>43556</v>
      </c>
      <c r="B19" s="27">
        <v>9.0999999999999996</v>
      </c>
      <c r="C19" s="27">
        <v>37.899999999999999</v>
      </c>
      <c r="AB19" s="85">
        <f ca="1"/>
        <v>9.0999999999999996</v>
      </c>
      <c r="AC19" s="85">
        <f ca="1"/>
        <v>26.300000000000001</v>
      </c>
    </row>
    <row r="20">
      <c r="A20" s="84">
        <v>43586</v>
      </c>
      <c r="B20" s="27">
        <v>10.199999999999999</v>
      </c>
      <c r="C20" s="27">
        <v>41.5</v>
      </c>
      <c r="AB20" s="85">
        <f ca="1"/>
        <v>10.199999999999999</v>
      </c>
      <c r="AC20" s="85">
        <f ca="1"/>
        <v>37.899999999999999</v>
      </c>
    </row>
    <row r="21">
      <c r="A21" s="86">
        <v>43617</v>
      </c>
      <c r="B21" s="41">
        <v>11.300000000000001</v>
      </c>
      <c r="C21" s="41">
        <v>41.799999999999997</v>
      </c>
      <c r="AB21" s="85">
        <f ca="1"/>
        <v>11.300000000000001</v>
      </c>
      <c r="AC21" s="85">
        <f ca="1"/>
        <v>41.5</v>
      </c>
    </row>
    <row r="22">
      <c r="AB22" t="e">
        <f ca="1"/>
        <v>#N/A</v>
      </c>
      <c r="AC22" t="e">
        <f ca="1"/>
        <v>#N/A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10" zoomScale="100" workbookViewId="0">
      <selection activeCell="A1" activeCellId="0" sqref="A1"/>
    </sheetView>
  </sheetViews>
  <sheetFormatPr defaultRowHeight="14.25"/>
  <cols>
    <col customWidth="1" min="1" max="1" width="4.8125"/>
    <col customWidth="1" min="2" max="2" width="6.4553570000000002"/>
    <col customWidth="1" min="3" max="3" width="7.7232139999999996"/>
    <col customWidth="1" min="5" max="7" width="6.8125"/>
    <col customWidth="1" min="12" max="12" width="13.723214"/>
    <col customWidth="1" min="20" max="20" width="3.4553569999999998"/>
    <col customWidth="1" min="21" max="21" width="6.2678570000000002"/>
  </cols>
  <sheetData>
    <row r="1">
      <c r="A1" s="1"/>
      <c r="B1" s="1"/>
      <c r="C1" s="1"/>
      <c r="F1" t="s">
        <v>662</v>
      </c>
      <c r="L1" t="s">
        <v>369</v>
      </c>
      <c r="U1" t="s">
        <v>578</v>
      </c>
      <c r="Y1" t="s">
        <v>475</v>
      </c>
      <c r="AC1" t="s">
        <v>476</v>
      </c>
      <c r="AG1" t="s">
        <v>477</v>
      </c>
      <c r="AM1" t="s">
        <v>478</v>
      </c>
      <c r="AU1" t="s">
        <v>479</v>
      </c>
    </row>
    <row r="2">
      <c r="A2" s="55"/>
      <c r="B2" s="55"/>
      <c r="C2" s="55"/>
      <c r="D2" s="55"/>
      <c r="AP2" t="s">
        <v>385</v>
      </c>
      <c r="AQ2">
        <f>0.05</f>
        <v>5.0000000000000003e-02</v>
      </c>
    </row>
    <row r="3">
      <c r="B3" s="4" t="s">
        <v>461</v>
      </c>
      <c r="C3" s="4" t="s">
        <v>462</v>
      </c>
      <c r="D3" s="4" t="s">
        <v>343</v>
      </c>
      <c r="F3" s="24" t="s">
        <v>355</v>
      </c>
      <c r="G3" s="24" t="str">
        <f t="array" ref="G3:H3">B3:C3</f>
        <v>X1</v>
      </c>
      <c r="H3" s="24" t="str">
        <f/>
        <v>X2</v>
      </c>
      <c r="I3" s="24" t="str">
        <f>D3</f>
        <v>Y</v>
      </c>
      <c r="J3" s="24" t="s">
        <v>480</v>
      </c>
      <c r="L3" s="49" t="s">
        <v>371</v>
      </c>
      <c r="M3" s="49"/>
      <c r="O3" s="49"/>
      <c r="P3" s="49"/>
      <c r="U3" s="24" t="s">
        <v>355</v>
      </c>
      <c r="V3" s="24" t="s">
        <v>173</v>
      </c>
      <c r="W3" s="24" t="s">
        <v>480</v>
      </c>
      <c r="Y3" s="24" t="s">
        <v>481</v>
      </c>
      <c r="Z3" s="24" t="s">
        <v>482</v>
      </c>
      <c r="AA3" s="24" t="s">
        <v>483</v>
      </c>
      <c r="AC3" s="24" t="s">
        <v>469</v>
      </c>
      <c r="AD3" s="24" t="s">
        <v>470</v>
      </c>
      <c r="AE3" s="24" t="s">
        <v>484</v>
      </c>
      <c r="AG3" s="24" t="s">
        <v>485</v>
      </c>
      <c r="AH3" s="24" t="s">
        <v>391</v>
      </c>
      <c r="AI3" s="24" t="s">
        <v>183</v>
      </c>
      <c r="AJ3" s="24" t="s">
        <v>582</v>
      </c>
      <c r="AK3" s="24" t="s">
        <v>189</v>
      </c>
      <c r="AM3" s="24" t="s">
        <v>355</v>
      </c>
      <c r="AN3" s="24" t="s">
        <v>173</v>
      </c>
      <c r="AO3" s="24" t="s">
        <v>480</v>
      </c>
      <c r="AP3" s="24" t="s">
        <v>208</v>
      </c>
      <c r="AQ3" s="24" t="s">
        <v>183</v>
      </c>
      <c r="AR3" s="24" t="s">
        <v>215</v>
      </c>
      <c r="AS3" s="24" t="s">
        <v>216</v>
      </c>
      <c r="AU3" s="24" t="s">
        <v>355</v>
      </c>
      <c r="AV3" s="24" t="s">
        <v>193</v>
      </c>
    </row>
    <row r="4">
      <c r="A4">
        <v>1</v>
      </c>
      <c r="B4" s="85">
        <v>1</v>
      </c>
      <c r="C4" s="87">
        <v>10.895</v>
      </c>
      <c r="D4">
        <f>3.11767564756553+0.7</f>
        <v>3.81767564756553</v>
      </c>
      <c r="F4">
        <v>1</v>
      </c>
      <c r="G4" t="e">
        <v>#NAME?</v>
      </c>
      <c r="H4" t="e">
        <v>#NAME?</v>
      </c>
      <c r="I4" t="e">
        <v>#NAME?</v>
      </c>
      <c r="J4" t="e">
        <f t="array" ref="J4:J22">I4:I22-TREND(I4:I22,G4:H22,,TRUE)</f>
        <v>#NAME?</v>
      </c>
      <c r="L4" t="s">
        <v>373</v>
      </c>
      <c r="M4" t="e">
        <f>SQRT(M5)</f>
        <v>#NAME?</v>
      </c>
      <c r="O4" t="s">
        <v>374</v>
      </c>
      <c r="P4" t="e">
        <f>M8*LN(N13/M8)+2*(M12+1)</f>
        <v>#NAME?</v>
      </c>
      <c r="U4" s="15">
        <v>0</v>
      </c>
      <c r="V4">
        <v>0</v>
      </c>
      <c r="W4">
        <v>0</v>
      </c>
      <c r="Y4" s="15">
        <v>1</v>
      </c>
      <c r="Z4">
        <v>0</v>
      </c>
      <c r="AA4" t="e">
        <f>AH5</f>
        <v>#NAME?</v>
      </c>
      <c r="AG4" t="s">
        <v>494</v>
      </c>
      <c r="AH4" t="e">
        <v>#NAME?</v>
      </c>
      <c r="AI4" t="e">
        <v>#NAME?</v>
      </c>
      <c r="AJ4" t="e">
        <f t="shared" ref="AJ4:AJ5" si="1763">AH4/AI4</f>
        <v>#NAME?</v>
      </c>
      <c r="AK4" t="e">
        <f t="shared" ref="AK4:AK5" si="1764">_xlfn.T.DIST.2T(ABS(AJ4),AA$17-AA$9-AA$10-1)</f>
        <v>#NAME?</v>
      </c>
      <c r="AM4">
        <f t="shared" ref="AM4:AM9" si="1765">U4</f>
        <v>0</v>
      </c>
      <c r="AN4">
        <f t="shared" ref="AN4:AN9" si="1766">V4</f>
        <v>0</v>
      </c>
      <c r="AO4">
        <f t="shared" ref="AO4:AO9" si="1767">W4</f>
        <v>0</v>
      </c>
      <c r="AU4">
        <v>1</v>
      </c>
      <c r="AV4" t="e">
        <f t="shared" ref="AV4:AV9" si="1768">J4</f>
        <v>#NAME?</v>
      </c>
    </row>
    <row r="5">
      <c r="A5">
        <f t="shared" ref="A5:A10" si="1769">A4+1</f>
        <v>2</v>
      </c>
      <c r="B5" s="85">
        <v>2</v>
      </c>
      <c r="C5" s="87">
        <v>11.895</v>
      </c>
      <c r="D5">
        <v>6.5100100000000003</v>
      </c>
      <c r="F5">
        <f t="shared" ref="F5:F10" si="1770">F4+1</f>
        <v>2</v>
      </c>
      <c r="G5" t="e">
        <v>#NAME?</v>
      </c>
      <c r="H5" t="e">
        <v>#NAME?</v>
      </c>
      <c r="I5" t="e">
        <v>#NAME?</v>
      </c>
      <c r="J5" t="e">
        <f/>
        <v>#NAME?</v>
      </c>
      <c r="L5" t="s">
        <v>375</v>
      </c>
      <c r="M5" t="e">
        <f>N12/N14</f>
        <v>#NAME?</v>
      </c>
      <c r="O5" t="s">
        <v>376</v>
      </c>
      <c r="P5" t="e">
        <f>P4+2*(M12+2)*(M12+3)/(M8-M12-3)</f>
        <v>#NAME?</v>
      </c>
      <c r="U5" s="15">
        <f t="shared" ref="U5:U10" si="1771">U4+1</f>
        <v>1</v>
      </c>
      <c r="V5" t="e">
        <f t="shared" ref="V5:V10" si="1772">J4</f>
        <v>#NAME?</v>
      </c>
      <c r="W5" t="e">
        <f t="shared" ref="W5:W9" si="1773">V5-SUMPRODUCT(W4,AA$4)</f>
        <v>#NAME?</v>
      </c>
      <c r="Y5" s="17" t="s">
        <v>494</v>
      </c>
      <c r="Z5" s="14" t="e">
        <f>AH4</f>
        <v>#NAME?</v>
      </c>
      <c r="AA5" s="14" t="e">
        <f>Z5</f>
        <v>#NAME?</v>
      </c>
      <c r="AC5" t="s">
        <v>495</v>
      </c>
      <c r="AG5" s="14" t="s">
        <v>581</v>
      </c>
      <c r="AH5" s="14" t="e">
        <v>#NAME?</v>
      </c>
      <c r="AI5" s="14" t="e">
        <v>#NAME?</v>
      </c>
      <c r="AJ5" s="14" t="e">
        <f t="shared" si="1763"/>
        <v>#NAME?</v>
      </c>
      <c r="AK5" s="14" t="e">
        <f t="shared" si="1764"/>
        <v>#NAME?</v>
      </c>
      <c r="AM5">
        <f t="shared" si="1765"/>
        <v>1</v>
      </c>
      <c r="AN5" t="e">
        <f t="shared" si="1766"/>
        <v>#NAME?</v>
      </c>
      <c r="AO5" t="e">
        <f t="shared" si="1767"/>
        <v>#NAME?</v>
      </c>
      <c r="AP5" t="e">
        <f t="shared" ref="AP5:AP9" si="1774">AN5-AO5</f>
        <v>#NAME?</v>
      </c>
      <c r="AQ5" t="e">
        <f t="shared" ref="AQ5:AQ23" si="1775">AA$14</f>
        <v>#NAME?</v>
      </c>
      <c r="AR5" t="e">
        <f t="shared" ref="AR5:AR9" si="1776">AP5-_xlfn.NORM.S.INV(1-AQ$2/2)*AQ5</f>
        <v>#NAME?</v>
      </c>
      <c r="AS5" t="e">
        <f t="shared" ref="AS5:AS9" si="1777">AP5+_xlfn.NORM.S.INV(1-AQ$2/2)*AQ5</f>
        <v>#NAME?</v>
      </c>
      <c r="AU5">
        <f t="shared" ref="AU5:AU10" si="1778">AU4+1</f>
        <v>2</v>
      </c>
      <c r="AV5" t="e">
        <f t="shared" si="1768"/>
        <v>#NAME?</v>
      </c>
    </row>
    <row r="6">
      <c r="A6">
        <f t="shared" si="1769"/>
        <v>3</v>
      </c>
      <c r="B6" s="85">
        <v>3.5</v>
      </c>
      <c r="C6" s="87">
        <v>12.685</v>
      </c>
      <c r="D6">
        <f>4.90676859838178-0.5</f>
        <v>4.4067685983817801</v>
      </c>
      <c r="F6">
        <f t="shared" si="1770"/>
        <v>3</v>
      </c>
      <c r="G6" t="e">
        <v>#NAME?</v>
      </c>
      <c r="H6" t="e">
        <v>#NAME?</v>
      </c>
      <c r="I6" t="e">
        <v>#NAME?</v>
      </c>
      <c r="J6" t="e">
        <f/>
        <v>#NAME?</v>
      </c>
      <c r="L6" t="s">
        <v>378</v>
      </c>
      <c r="M6" t="e">
        <f>1-(1-M5)*(M8-1)/(M8-M12-1)</f>
        <v>#NAME?</v>
      </c>
      <c r="O6" s="14" t="s">
        <v>395</v>
      </c>
      <c r="P6" s="14" t="e">
        <f>M8*LN(N13/M8)+(M12+1)*LN(M8)</f>
        <v>#NAME?</v>
      </c>
      <c r="U6" s="15">
        <f t="shared" si="1771"/>
        <v>2</v>
      </c>
      <c r="V6" t="e">
        <f t="shared" si="1772"/>
        <v>#NAME?</v>
      </c>
      <c r="W6" t="e">
        <f t="shared" si="1773"/>
        <v>#NAME?</v>
      </c>
      <c r="AM6">
        <f t="shared" si="1765"/>
        <v>2</v>
      </c>
      <c r="AN6" t="e">
        <f t="shared" si="1766"/>
        <v>#NAME?</v>
      </c>
      <c r="AO6" t="e">
        <f t="shared" si="1767"/>
        <v>#NAME?</v>
      </c>
      <c r="AP6" t="e">
        <f t="shared" si="1774"/>
        <v>#NAME?</v>
      </c>
      <c r="AQ6" t="e">
        <f t="shared" si="1775"/>
        <v>#NAME?</v>
      </c>
      <c r="AR6" t="e">
        <f t="shared" si="1776"/>
        <v>#NAME?</v>
      </c>
      <c r="AS6" t="e">
        <f t="shared" si="1777"/>
        <v>#NAME?</v>
      </c>
      <c r="AU6">
        <f t="shared" si="1778"/>
        <v>3</v>
      </c>
      <c r="AV6" t="e">
        <f t="shared" si="1768"/>
        <v>#NAME?</v>
      </c>
    </row>
    <row r="7">
      <c r="A7">
        <f t="shared" si="1769"/>
        <v>4</v>
      </c>
      <c r="B7" s="85">
        <v>3.5</v>
      </c>
      <c r="C7" s="87">
        <v>13.58</v>
      </c>
      <c r="D7">
        <f>6.11947448226024+0.0001</f>
        <v>6.1195744822602398</v>
      </c>
      <c r="F7">
        <f t="shared" si="1770"/>
        <v>4</v>
      </c>
      <c r="G7" t="e">
        <v>#NAME?</v>
      </c>
      <c r="H7" t="e">
        <v>#NAME?</v>
      </c>
      <c r="I7" t="e">
        <v>#NAME?</v>
      </c>
      <c r="J7" t="e">
        <f/>
        <v>#NAME?</v>
      </c>
      <c r="L7" t="s">
        <v>381</v>
      </c>
      <c r="M7" t="e">
        <f>SQRT(O13)</f>
        <v>#NAME?</v>
      </c>
      <c r="U7" s="15">
        <f t="shared" si="1771"/>
        <v>3</v>
      </c>
      <c r="V7" t="e">
        <f t="shared" si="1772"/>
        <v>#NAME?</v>
      </c>
      <c r="W7" t="e">
        <f t="shared" si="1773"/>
        <v>#NAME?</v>
      </c>
      <c r="Z7" t="s">
        <v>464</v>
      </c>
      <c r="AA7" s="18" t="e">
        <f>SUMSQ(W5:W23)</f>
        <v>#NAME?</v>
      </c>
      <c r="AC7" s="24" t="s">
        <v>469</v>
      </c>
      <c r="AD7" s="24" t="s">
        <v>470</v>
      </c>
      <c r="AE7" s="24" t="s">
        <v>484</v>
      </c>
      <c r="AM7">
        <f t="shared" si="1765"/>
        <v>3</v>
      </c>
      <c r="AN7" t="e">
        <f t="shared" si="1766"/>
        <v>#NAME?</v>
      </c>
      <c r="AO7" t="e">
        <f t="shared" si="1767"/>
        <v>#NAME?</v>
      </c>
      <c r="AP7" t="e">
        <f t="shared" si="1774"/>
        <v>#NAME?</v>
      </c>
      <c r="AQ7" t="e">
        <f t="shared" si="1775"/>
        <v>#NAME?</v>
      </c>
      <c r="AR7" t="e">
        <f t="shared" si="1776"/>
        <v>#NAME?</v>
      </c>
      <c r="AS7" t="e">
        <f t="shared" si="1777"/>
        <v>#NAME?</v>
      </c>
      <c r="AU7">
        <f t="shared" si="1778"/>
        <v>4</v>
      </c>
      <c r="AV7" t="e">
        <f t="shared" si="1768"/>
        <v>#NAME?</v>
      </c>
    </row>
    <row r="8">
      <c r="A8">
        <f t="shared" si="1769"/>
        <v>5</v>
      </c>
      <c r="B8" s="85">
        <v>3</v>
      </c>
      <c r="C8" s="87">
        <v>14.895</v>
      </c>
      <c r="D8">
        <v>8.1353263117657075</v>
      </c>
      <c r="F8">
        <f t="shared" si="1770"/>
        <v>5</v>
      </c>
      <c r="G8" t="e">
        <v>#NAME?</v>
      </c>
      <c r="H8" t="e">
        <v>#NAME?</v>
      </c>
      <c r="I8" t="e">
        <v>#NAME?</v>
      </c>
      <c r="J8" t="e">
        <f/>
        <v>#NAME?</v>
      </c>
      <c r="L8" s="14" t="s">
        <v>383</v>
      </c>
      <c r="M8" s="14">
        <f>COUNT(I4:I22)</f>
        <v>0</v>
      </c>
      <c r="U8" s="15">
        <f t="shared" si="1771"/>
        <v>4</v>
      </c>
      <c r="V8" t="e">
        <f t="shared" si="1772"/>
        <v>#NAME?</v>
      </c>
      <c r="W8" t="e">
        <f t="shared" si="1773"/>
        <v>#NAME?</v>
      </c>
      <c r="AC8" s="26" t="e">
        <v>#NAME?</v>
      </c>
      <c r="AD8" s="26" t="e">
        <v>#NAME?</v>
      </c>
      <c r="AE8" s="26" t="e">
        <v>#NAME?</v>
      </c>
      <c r="AM8">
        <f t="shared" si="1765"/>
        <v>4</v>
      </c>
      <c r="AN8" t="e">
        <f t="shared" si="1766"/>
        <v>#NAME?</v>
      </c>
      <c r="AO8" t="e">
        <f t="shared" si="1767"/>
        <v>#NAME?</v>
      </c>
      <c r="AP8" t="e">
        <f t="shared" si="1774"/>
        <v>#NAME?</v>
      </c>
      <c r="AQ8" t="e">
        <f t="shared" si="1775"/>
        <v>#NAME?</v>
      </c>
      <c r="AR8" t="e">
        <f t="shared" si="1776"/>
        <v>#NAME?</v>
      </c>
      <c r="AS8" t="e">
        <f t="shared" si="1777"/>
        <v>#NAME?</v>
      </c>
      <c r="AU8">
        <f t="shared" si="1778"/>
        <v>5</v>
      </c>
      <c r="AV8" t="e">
        <f t="shared" si="1768"/>
        <v>#NAME?</v>
      </c>
    </row>
    <row r="9">
      <c r="A9">
        <f t="shared" si="1769"/>
        <v>6</v>
      </c>
      <c r="B9" s="85">
        <v>4.5</v>
      </c>
      <c r="C9" s="87">
        <v>15.699999999999999</v>
      </c>
      <c r="D9">
        <v>9.3448674266459744</v>
      </c>
      <c r="F9">
        <f t="shared" si="1770"/>
        <v>6</v>
      </c>
      <c r="G9" t="e">
        <v>#NAME?</v>
      </c>
      <c r="H9" t="e">
        <v>#NAME?</v>
      </c>
      <c r="I9" t="e">
        <v>#NAME?</v>
      </c>
      <c r="J9" t="e">
        <f/>
        <v>#NAME?</v>
      </c>
      <c r="U9" s="15">
        <f t="shared" si="1771"/>
        <v>5</v>
      </c>
      <c r="V9" t="e">
        <f t="shared" si="1772"/>
        <v>#NAME?</v>
      </c>
      <c r="W9" t="e">
        <f t="shared" si="1773"/>
        <v>#NAME?</v>
      </c>
      <c r="Z9" t="s">
        <v>497</v>
      </c>
      <c r="AA9" s="7">
        <v>0</v>
      </c>
      <c r="AM9">
        <f t="shared" si="1765"/>
        <v>5</v>
      </c>
      <c r="AN9" t="e">
        <f t="shared" si="1766"/>
        <v>#NAME?</v>
      </c>
      <c r="AO9" t="e">
        <f t="shared" si="1767"/>
        <v>#NAME?</v>
      </c>
      <c r="AP9" t="e">
        <f t="shared" si="1774"/>
        <v>#NAME?</v>
      </c>
      <c r="AQ9" t="e">
        <f t="shared" si="1775"/>
        <v>#NAME?</v>
      </c>
      <c r="AR9" t="e">
        <f t="shared" si="1776"/>
        <v>#NAME?</v>
      </c>
      <c r="AS9" t="e">
        <f t="shared" si="1777"/>
        <v>#NAME?</v>
      </c>
      <c r="AU9">
        <f t="shared" si="1778"/>
        <v>6</v>
      </c>
      <c r="AV9" t="e">
        <f t="shared" si="1768"/>
        <v>#NAME?</v>
      </c>
    </row>
    <row r="10">
      <c r="A10">
        <f t="shared" si="1769"/>
        <v>7</v>
      </c>
      <c r="B10" s="85">
        <v>5</v>
      </c>
      <c r="C10" s="87">
        <v>16.789999999999999</v>
      </c>
      <c r="D10">
        <v>9.1476506838871607</v>
      </c>
      <c r="F10">
        <f t="shared" si="1770"/>
        <v>7</v>
      </c>
      <c r="G10" t="e">
        <v>#NAME?</v>
      </c>
      <c r="H10" t="e">
        <v>#NAME?</v>
      </c>
      <c r="I10" t="e">
        <v>#NAME?</v>
      </c>
      <c r="J10" t="e">
        <f/>
        <v>#NAME?</v>
      </c>
      <c r="L10" t="s">
        <v>384</v>
      </c>
      <c r="P10" s="15" t="s">
        <v>385</v>
      </c>
      <c r="Q10" s="15">
        <v>5.0000000000000003e-02</v>
      </c>
      <c r="U10" s="15">
        <f t="shared" si="1771"/>
        <v>6</v>
      </c>
      <c r="V10" t="e">
        <f t="shared" si="1772"/>
        <v>#NAME?</v>
      </c>
      <c r="W10" t="e">
        <f>V10-SUMPRODUCT(W9,AA$4)</f>
        <v>#NAME?</v>
      </c>
      <c r="Z10" t="s">
        <v>498</v>
      </c>
      <c r="AA10" s="10">
        <v>1</v>
      </c>
      <c r="AC10" t="s">
        <v>499</v>
      </c>
      <c r="AM10">
        <f t="shared" ref="AM10:AM23" si="1779">U10</f>
        <v>6</v>
      </c>
      <c r="AN10" t="e">
        <f t="shared" ref="AN10:AN23" si="1780">V10</f>
        <v>#NAME?</v>
      </c>
      <c r="AO10" t="e">
        <f t="shared" ref="AO10:AO23" si="1781">W10</f>
        <v>#NAME?</v>
      </c>
      <c r="AP10" t="e">
        <f t="shared" ref="AP10:AP23" si="1782">AN10-AO10</f>
        <v>#NAME?</v>
      </c>
      <c r="AQ10" t="e">
        <f t="shared" si="1775"/>
        <v>#NAME?</v>
      </c>
      <c r="AR10" t="e">
        <f t="shared" ref="AR10:AR26" si="1783">AP10-_xlfn.NORM.S.INV(1-AQ$2/2)*AQ10</f>
        <v>#NAME?</v>
      </c>
      <c r="AS10" t="e">
        <f t="shared" ref="AS10:AS26" si="1784">AP10+_xlfn.NORM.S.INV(1-AQ$2/2)*AQ10</f>
        <v>#NAME?</v>
      </c>
      <c r="AU10">
        <f t="shared" si="1778"/>
        <v>7</v>
      </c>
      <c r="AV10" t="e">
        <f t="shared" ref="AV10:AV22" si="1785">J10</f>
        <v>#NAME?</v>
      </c>
    </row>
    <row r="11">
      <c r="A11">
        <f t="shared" ref="A11:A23" si="1786">A10+1</f>
        <v>8</v>
      </c>
      <c r="B11" s="85">
        <v>4.5</v>
      </c>
      <c r="C11" s="87">
        <v>17.475000000000001</v>
      </c>
      <c r="D11">
        <f>8.10149328130298</f>
        <v>8.1014932813029805</v>
      </c>
      <c r="F11">
        <f t="shared" ref="F11:F22" si="1787">F10+1</f>
        <v>8</v>
      </c>
      <c r="G11" t="e">
        <v>#NAME?</v>
      </c>
      <c r="H11" t="e">
        <v>#NAME?</v>
      </c>
      <c r="I11" t="e">
        <v>#NAME?</v>
      </c>
      <c r="J11" t="e">
        <f/>
        <v>#NAME?</v>
      </c>
      <c r="L11" s="24"/>
      <c r="M11" s="24" t="s">
        <v>294</v>
      </c>
      <c r="N11" s="24" t="s">
        <v>386</v>
      </c>
      <c r="O11" s="24" t="s">
        <v>387</v>
      </c>
      <c r="P11" s="24" t="s">
        <v>388</v>
      </c>
      <c r="Q11" s="24" t="s">
        <v>189</v>
      </c>
      <c r="R11" s="24" t="s">
        <v>204</v>
      </c>
      <c r="U11" s="15">
        <f t="shared" ref="U11:U23" si="1788">U10+1</f>
        <v>7</v>
      </c>
      <c r="V11" t="e">
        <f t="shared" ref="V11:V23" si="1789">J10</f>
        <v>#NAME?</v>
      </c>
      <c r="W11" t="e">
        <f t="shared" ref="W11:W23" si="1790">V11-SUMPRODUCT(W10,AA$4)</f>
        <v>#NAME?</v>
      </c>
      <c r="Z11" t="s">
        <v>181</v>
      </c>
      <c r="AA11" s="10">
        <v>0</v>
      </c>
      <c r="AM11">
        <f t="shared" si="1779"/>
        <v>7</v>
      </c>
      <c r="AN11" t="e">
        <f t="shared" si="1780"/>
        <v>#NAME?</v>
      </c>
      <c r="AO11" t="e">
        <f t="shared" si="1781"/>
        <v>#NAME?</v>
      </c>
      <c r="AP11" t="e">
        <f t="shared" si="1782"/>
        <v>#NAME?</v>
      </c>
      <c r="AQ11" t="e">
        <f t="shared" si="1775"/>
        <v>#NAME?</v>
      </c>
      <c r="AR11" t="e">
        <f t="shared" si="1783"/>
        <v>#NAME?</v>
      </c>
      <c r="AS11" t="e">
        <f t="shared" si="1784"/>
        <v>#NAME?</v>
      </c>
      <c r="AU11">
        <f t="shared" ref="AU11:AU25" si="1791">AU10+1</f>
        <v>8</v>
      </c>
      <c r="AV11" t="e">
        <f t="shared" si="1785"/>
        <v>#NAME?</v>
      </c>
    </row>
    <row r="12">
      <c r="A12">
        <f t="shared" si="1786"/>
        <v>9</v>
      </c>
      <c r="B12" s="85">
        <v>8</v>
      </c>
      <c r="C12" s="87">
        <v>18.475000000000001</v>
      </c>
      <c r="D12">
        <v>10.146419029172929</v>
      </c>
      <c r="F12">
        <f t="shared" si="1787"/>
        <v>9</v>
      </c>
      <c r="G12" t="e">
        <v>#NAME?</v>
      </c>
      <c r="H12" t="e">
        <v>#NAME?</v>
      </c>
      <c r="I12" t="e">
        <v>#NAME?</v>
      </c>
      <c r="J12" t="e">
        <f/>
        <v>#NAME?</v>
      </c>
      <c r="L12" t="s">
        <v>389</v>
      </c>
      <c r="M12">
        <f>COUNT(G4:H4)</f>
        <v>0</v>
      </c>
      <c r="N12" t="e">
        <v>#NAME?</v>
      </c>
      <c r="O12" t="e">
        <f t="shared" ref="O12:O13" si="1792">N12/M12</f>
        <v>#NAME?</v>
      </c>
      <c r="P12" t="e">
        <f>O12/O13</f>
        <v>#NAME?</v>
      </c>
      <c r="Q12" t="e">
        <f>_xlfn.F.DIST.RT(P12,M12,M13)</f>
        <v>#NAME?</v>
      </c>
      <c r="R12" s="15" t="e">
        <f>IF(Q12&lt;Q10,"yes","no")</f>
        <v>#NAME?</v>
      </c>
      <c r="U12" s="15">
        <f t="shared" si="1788"/>
        <v>8</v>
      </c>
      <c r="V12" t="e">
        <f t="shared" si="1789"/>
        <v>#NAME?</v>
      </c>
      <c r="W12" t="e">
        <f t="shared" si="1790"/>
        <v>#NAME?</v>
      </c>
      <c r="Z12" t="s">
        <v>500</v>
      </c>
      <c r="AA12" s="10" t="e">
        <f>AVERAGE(W5:W23)</f>
        <v>#NAME?</v>
      </c>
      <c r="AC12" s="24" t="s">
        <v>481</v>
      </c>
      <c r="AD12" s="24" t="s">
        <v>501</v>
      </c>
      <c r="AM12">
        <f t="shared" si="1779"/>
        <v>8</v>
      </c>
      <c r="AN12" t="e">
        <f t="shared" si="1780"/>
        <v>#NAME?</v>
      </c>
      <c r="AO12" t="e">
        <f t="shared" si="1781"/>
        <v>#NAME?</v>
      </c>
      <c r="AP12" t="e">
        <f t="shared" si="1782"/>
        <v>#NAME?</v>
      </c>
      <c r="AQ12" t="e">
        <f t="shared" si="1775"/>
        <v>#NAME?</v>
      </c>
      <c r="AR12" t="e">
        <f t="shared" si="1783"/>
        <v>#NAME?</v>
      </c>
      <c r="AS12" t="e">
        <f t="shared" si="1784"/>
        <v>#NAME?</v>
      </c>
      <c r="AU12">
        <f t="shared" si="1791"/>
        <v>9</v>
      </c>
      <c r="AV12" t="e">
        <f t="shared" si="1785"/>
        <v>#NAME?</v>
      </c>
    </row>
    <row r="13">
      <c r="A13">
        <f t="shared" si="1786"/>
        <v>10</v>
      </c>
      <c r="B13" s="85">
        <v>11</v>
      </c>
      <c r="C13" s="87">
        <v>19.579999999999998</v>
      </c>
      <c r="D13">
        <v>11.045196349004179</v>
      </c>
      <c r="F13">
        <f t="shared" si="1787"/>
        <v>10</v>
      </c>
      <c r="G13" t="e">
        <v>#NAME?</v>
      </c>
      <c r="H13" t="e">
        <v>#NAME?</v>
      </c>
      <c r="I13" t="e">
        <v>#NAME?</v>
      </c>
      <c r="J13" t="e">
        <f/>
        <v>#NAME?</v>
      </c>
      <c r="L13" t="s">
        <v>342</v>
      </c>
      <c r="M13">
        <f>M14-M12</f>
        <v>-1</v>
      </c>
      <c r="N13" t="e">
        <f>N14-N12</f>
        <v>#NAME?</v>
      </c>
      <c r="O13" t="e">
        <f t="shared" si="1792"/>
        <v>#NAME?</v>
      </c>
      <c r="U13" s="15">
        <f t="shared" si="1788"/>
        <v>9</v>
      </c>
      <c r="V13" t="e">
        <f t="shared" si="1789"/>
        <v>#NAME?</v>
      </c>
      <c r="W13" t="e">
        <f t="shared" si="1790"/>
        <v>#NAME?</v>
      </c>
      <c r="Z13" t="s">
        <v>502</v>
      </c>
      <c r="AA13" s="10" t="e">
        <f>_xlfn.STDEV.S(W5:W23)</f>
        <v>#NAME?</v>
      </c>
      <c r="AC13" s="42">
        <v>0</v>
      </c>
      <c r="AD13" s="42" t="e">
        <v>#NAME?</v>
      </c>
      <c r="AM13">
        <f t="shared" si="1779"/>
        <v>9</v>
      </c>
      <c r="AN13" t="e">
        <f t="shared" si="1780"/>
        <v>#NAME?</v>
      </c>
      <c r="AO13" t="e">
        <f t="shared" si="1781"/>
        <v>#NAME?</v>
      </c>
      <c r="AP13" t="e">
        <f t="shared" si="1782"/>
        <v>#NAME?</v>
      </c>
      <c r="AQ13" t="e">
        <f t="shared" si="1775"/>
        <v>#NAME?</v>
      </c>
      <c r="AR13" t="e">
        <f t="shared" si="1783"/>
        <v>#NAME?</v>
      </c>
      <c r="AS13" t="e">
        <f t="shared" si="1784"/>
        <v>#NAME?</v>
      </c>
      <c r="AU13">
        <f t="shared" si="1791"/>
        <v>10</v>
      </c>
      <c r="AV13" t="e">
        <f t="shared" si="1785"/>
        <v>#NAME?</v>
      </c>
    </row>
    <row r="14">
      <c r="A14">
        <f t="shared" si="1786"/>
        <v>11</v>
      </c>
      <c r="B14" s="85">
        <v>7</v>
      </c>
      <c r="C14" s="87">
        <v>20.475000000000001</v>
      </c>
      <c r="D14">
        <f>10.122578080183-0.0001</f>
        <v>10.122478080183001</v>
      </c>
      <c r="F14">
        <f t="shared" si="1787"/>
        <v>11</v>
      </c>
      <c r="G14" t="e">
        <v>#NAME?</v>
      </c>
      <c r="H14" t="e">
        <v>#NAME?</v>
      </c>
      <c r="I14" t="e">
        <v>#NAME?</v>
      </c>
      <c r="J14" t="e">
        <f/>
        <v>#NAME?</v>
      </c>
      <c r="L14" s="14" t="s">
        <v>390</v>
      </c>
      <c r="M14" s="14">
        <f>M8-1</f>
        <v>-1</v>
      </c>
      <c r="N14" s="14" t="e">
        <f>DEVSQ(I4:I22)</f>
        <v>#NAME?</v>
      </c>
      <c r="O14" s="14"/>
      <c r="P14" s="14"/>
      <c r="Q14" s="14"/>
      <c r="R14" s="14"/>
      <c r="U14" s="15">
        <f t="shared" si="1788"/>
        <v>10</v>
      </c>
      <c r="V14" t="e">
        <f t="shared" si="1789"/>
        <v>#NAME?</v>
      </c>
      <c r="W14" t="e">
        <f t="shared" si="1790"/>
        <v>#NAME?</v>
      </c>
      <c r="Z14" t="s">
        <v>503</v>
      </c>
      <c r="AA14" s="10" t="e">
        <f>SQRT(AA7/AA17)</f>
        <v>#NAME?</v>
      </c>
      <c r="AC14">
        <f t="shared" ref="AC14:AC15" si="1793">AC13+1</f>
        <v>1</v>
      </c>
      <c r="AD14" t="e">
        <v>#NAME?</v>
      </c>
      <c r="AM14">
        <f t="shared" si="1779"/>
        <v>10</v>
      </c>
      <c r="AN14" t="e">
        <f t="shared" si="1780"/>
        <v>#NAME?</v>
      </c>
      <c r="AO14" t="e">
        <f t="shared" si="1781"/>
        <v>#NAME?</v>
      </c>
      <c r="AP14" t="e">
        <f t="shared" si="1782"/>
        <v>#NAME?</v>
      </c>
      <c r="AQ14" t="e">
        <f t="shared" si="1775"/>
        <v>#NAME?</v>
      </c>
      <c r="AR14" t="e">
        <f t="shared" si="1783"/>
        <v>#NAME?</v>
      </c>
      <c r="AS14" t="e">
        <f t="shared" si="1784"/>
        <v>#NAME?</v>
      </c>
      <c r="AU14">
        <f t="shared" si="1791"/>
        <v>11</v>
      </c>
      <c r="AV14" t="e">
        <f t="shared" si="1785"/>
        <v>#NAME?</v>
      </c>
    </row>
    <row r="15">
      <c r="A15">
        <f t="shared" si="1786"/>
        <v>12</v>
      </c>
      <c r="B15" s="85">
        <v>6.5</v>
      </c>
      <c r="C15" s="87">
        <v>21.370000000000001</v>
      </c>
      <c r="D15">
        <f>10.173602244452-0.2</f>
        <v>9.9736022444519996</v>
      </c>
      <c r="F15">
        <f t="shared" si="1787"/>
        <v>12</v>
      </c>
      <c r="G15" t="e">
        <v>#NAME?</v>
      </c>
      <c r="H15" t="e">
        <v>#NAME?</v>
      </c>
      <c r="I15" t="e">
        <v>#NAME?</v>
      </c>
      <c r="J15" t="e">
        <f/>
        <v>#NAME?</v>
      </c>
      <c r="U15" s="15">
        <f t="shared" si="1788"/>
        <v>11</v>
      </c>
      <c r="V15" t="e">
        <f t="shared" si="1789"/>
        <v>#NAME?</v>
      </c>
      <c r="W15" t="e">
        <f t="shared" si="1790"/>
        <v>#NAME?</v>
      </c>
      <c r="Z15" t="s">
        <v>504</v>
      </c>
      <c r="AA15" s="10" t="e">
        <f>AVERAGE(V5:V23)</f>
        <v>#NAME?</v>
      </c>
      <c r="AC15" s="14">
        <f t="shared" si="1793"/>
        <v>2</v>
      </c>
      <c r="AD15" s="14" t="e">
        <v>#NAME?</v>
      </c>
      <c r="AM15">
        <f t="shared" si="1779"/>
        <v>11</v>
      </c>
      <c r="AN15" t="e">
        <f t="shared" si="1780"/>
        <v>#NAME?</v>
      </c>
      <c r="AO15" t="e">
        <f t="shared" si="1781"/>
        <v>#NAME?</v>
      </c>
      <c r="AP15" t="e">
        <f t="shared" si="1782"/>
        <v>#NAME?</v>
      </c>
      <c r="AQ15" t="e">
        <f t="shared" si="1775"/>
        <v>#NAME?</v>
      </c>
      <c r="AR15" t="e">
        <f t="shared" si="1783"/>
        <v>#NAME?</v>
      </c>
      <c r="AS15" t="e">
        <f t="shared" si="1784"/>
        <v>#NAME?</v>
      </c>
      <c r="AU15">
        <f t="shared" si="1791"/>
        <v>12</v>
      </c>
      <c r="AV15" t="e">
        <f t="shared" si="1785"/>
        <v>#NAME?</v>
      </c>
    </row>
    <row r="16">
      <c r="A16">
        <f t="shared" si="1786"/>
        <v>13</v>
      </c>
      <c r="B16" s="85">
        <v>8.5</v>
      </c>
      <c r="C16" s="87">
        <v>22.789999999999999</v>
      </c>
      <c r="D16">
        <f>10.8213098008928-0.2</f>
        <v>10.621309800892799</v>
      </c>
      <c r="F16">
        <f t="shared" si="1787"/>
        <v>13</v>
      </c>
      <c r="G16" t="e">
        <v>#NAME?</v>
      </c>
      <c r="H16" t="e">
        <v>#NAME?</v>
      </c>
      <c r="I16" t="e">
        <v>#NAME?</v>
      </c>
      <c r="J16" t="e">
        <f/>
        <v>#NAME?</v>
      </c>
      <c r="L16" s="24"/>
      <c r="M16" s="24" t="s">
        <v>391</v>
      </c>
      <c r="N16" s="24" t="s">
        <v>392</v>
      </c>
      <c r="O16" s="24" t="s">
        <v>393</v>
      </c>
      <c r="P16" s="24" t="s">
        <v>189</v>
      </c>
      <c r="Q16" s="24" t="s">
        <v>215</v>
      </c>
      <c r="R16" s="24" t="s">
        <v>216</v>
      </c>
      <c r="S16" s="24" t="s">
        <v>397</v>
      </c>
      <c r="U16" s="15">
        <f t="shared" si="1788"/>
        <v>12</v>
      </c>
      <c r="V16" t="e">
        <f t="shared" si="1789"/>
        <v>#NAME?</v>
      </c>
      <c r="W16" t="e">
        <f t="shared" si="1790"/>
        <v>#NAME?</v>
      </c>
      <c r="Z16" t="s">
        <v>505</v>
      </c>
      <c r="AA16" s="10" t="e">
        <f>_xlfn.STDEV.S(V5:V23)</f>
        <v>#NAME?</v>
      </c>
      <c r="AM16">
        <f t="shared" si="1779"/>
        <v>12</v>
      </c>
      <c r="AN16" t="e">
        <f t="shared" si="1780"/>
        <v>#NAME?</v>
      </c>
      <c r="AO16" t="e">
        <f t="shared" si="1781"/>
        <v>#NAME?</v>
      </c>
      <c r="AP16" t="e">
        <f t="shared" si="1782"/>
        <v>#NAME?</v>
      </c>
      <c r="AQ16" t="e">
        <f t="shared" si="1775"/>
        <v>#NAME?</v>
      </c>
      <c r="AR16" t="e">
        <f t="shared" si="1783"/>
        <v>#NAME?</v>
      </c>
      <c r="AS16" t="e">
        <f t="shared" si="1784"/>
        <v>#NAME?</v>
      </c>
      <c r="AU16">
        <f t="shared" si="1791"/>
        <v>13</v>
      </c>
      <c r="AV16" t="e">
        <f t="shared" si="1785"/>
        <v>#NAME?</v>
      </c>
    </row>
    <row r="17">
      <c r="A17">
        <f t="shared" si="1786"/>
        <v>14</v>
      </c>
      <c r="B17" s="85">
        <v>9.5</v>
      </c>
      <c r="C17" s="87">
        <v>23.475000000000001</v>
      </c>
      <c r="D17">
        <v>10.084063249573955</v>
      </c>
      <c r="F17">
        <f t="shared" si="1787"/>
        <v>14</v>
      </c>
      <c r="G17" t="e">
        <v>#NAME?</v>
      </c>
      <c r="H17" t="e">
        <v>#NAME?</v>
      </c>
      <c r="I17" t="e">
        <v>#NAME?</v>
      </c>
      <c r="J17" t="e">
        <f/>
        <v>#NAME?</v>
      </c>
      <c r="L17" t="s">
        <v>396</v>
      </c>
      <c r="M17" t="e">
        <v>#NAME?</v>
      </c>
      <c r="N17" t="e">
        <v>#NAME?</v>
      </c>
      <c r="O17" t="e">
        <f t="shared" ref="O17:O19" si="1794">M17/N17</f>
        <v>#NAME?</v>
      </c>
      <c r="P17" t="e">
        <f t="shared" ref="P17:P19" si="1795">_xlfn.T.DIST.2T(ABS(O17),$M$13)</f>
        <v>#NAME?</v>
      </c>
      <c r="Q17" t="e">
        <f t="shared" ref="Q17:Q19" si="1796">M17-_xlfn.T.INV.2T(Q$10,$M$13)*N17</f>
        <v>#NAME?</v>
      </c>
      <c r="R17" t="e">
        <f t="shared" ref="R17:R19" si="1797">M17+_xlfn.T.INV.2T(Q$10,$M$13)*N17</f>
        <v>#NAME?</v>
      </c>
      <c r="U17" s="15">
        <f t="shared" si="1788"/>
        <v>13</v>
      </c>
      <c r="V17" t="e">
        <f t="shared" si="1789"/>
        <v>#NAME?</v>
      </c>
      <c r="W17" t="e">
        <f t="shared" si="1790"/>
        <v>#NAME?</v>
      </c>
      <c r="Z17" t="s">
        <v>506</v>
      </c>
      <c r="AA17" s="13">
        <f>COUNT(V5:V23)</f>
        <v>0</v>
      </c>
      <c r="AM17">
        <f t="shared" si="1779"/>
        <v>13</v>
      </c>
      <c r="AN17" t="e">
        <f t="shared" si="1780"/>
        <v>#NAME?</v>
      </c>
      <c r="AO17" t="e">
        <f t="shared" si="1781"/>
        <v>#NAME?</v>
      </c>
      <c r="AP17" t="e">
        <f t="shared" si="1782"/>
        <v>#NAME?</v>
      </c>
      <c r="AQ17" t="e">
        <f t="shared" si="1775"/>
        <v>#NAME?</v>
      </c>
      <c r="AR17" t="e">
        <f t="shared" si="1783"/>
        <v>#NAME?</v>
      </c>
      <c r="AS17" t="e">
        <f t="shared" si="1784"/>
        <v>#NAME?</v>
      </c>
      <c r="AU17">
        <f t="shared" si="1791"/>
        <v>14</v>
      </c>
      <c r="AV17" t="e">
        <f t="shared" si="1785"/>
        <v>#NAME?</v>
      </c>
    </row>
    <row r="18">
      <c r="A18">
        <f t="shared" si="1786"/>
        <v>15</v>
      </c>
      <c r="B18" s="85">
        <v>15</v>
      </c>
      <c r="C18" s="87">
        <v>23.844999999999999</v>
      </c>
      <c r="D18">
        <v>10.346054055555475</v>
      </c>
      <c r="F18">
        <f t="shared" si="1787"/>
        <v>15</v>
      </c>
      <c r="G18" t="e">
        <v>#NAME?</v>
      </c>
      <c r="H18" t="e">
        <v>#NAME?</v>
      </c>
      <c r="I18" t="e">
        <v>#NAME?</v>
      </c>
      <c r="J18" t="e">
        <f/>
        <v>#NAME?</v>
      </c>
      <c r="L18" t="str">
        <f t="array" ref="L18:L19">TRANSPOSE(G3:H3)</f>
        <v>X1</v>
      </c>
      <c r="M18" t="e">
        <v>#NAME?</v>
      </c>
      <c r="N18" t="e">
        <v>#NAME?</v>
      </c>
      <c r="O18" t="e">
        <f t="shared" si="1794"/>
        <v>#NAME?</v>
      </c>
      <c r="P18" t="e">
        <f t="shared" si="1795"/>
        <v>#NAME?</v>
      </c>
      <c r="Q18" t="e">
        <f t="shared" si="1796"/>
        <v>#NAME?</v>
      </c>
      <c r="R18" t="e">
        <f t="shared" si="1797"/>
        <v>#NAME?</v>
      </c>
      <c r="S18" t="e">
        <v>#NAME?</v>
      </c>
      <c r="U18" s="15">
        <f t="shared" si="1788"/>
        <v>14</v>
      </c>
      <c r="V18" t="e">
        <f t="shared" si="1789"/>
        <v>#NAME?</v>
      </c>
      <c r="W18" t="e">
        <f t="shared" si="1790"/>
        <v>#NAME?</v>
      </c>
      <c r="AM18">
        <f t="shared" si="1779"/>
        <v>14</v>
      </c>
      <c r="AN18" t="e">
        <f t="shared" si="1780"/>
        <v>#NAME?</v>
      </c>
      <c r="AO18" t="e">
        <f t="shared" si="1781"/>
        <v>#NAME?</v>
      </c>
      <c r="AP18" t="e">
        <f t="shared" si="1782"/>
        <v>#NAME?</v>
      </c>
      <c r="AQ18" t="e">
        <f t="shared" si="1775"/>
        <v>#NAME?</v>
      </c>
      <c r="AR18" t="e">
        <f t="shared" si="1783"/>
        <v>#NAME?</v>
      </c>
      <c r="AS18" t="e">
        <f t="shared" si="1784"/>
        <v>#NAME?</v>
      </c>
      <c r="AU18">
        <f t="shared" si="1791"/>
        <v>15</v>
      </c>
      <c r="AV18" t="e">
        <f t="shared" si="1785"/>
        <v>#NAME?</v>
      </c>
    </row>
    <row r="19">
      <c r="A19">
        <f t="shared" si="1786"/>
        <v>16</v>
      </c>
      <c r="B19" s="85">
        <v>14</v>
      </c>
      <c r="C19" s="87">
        <v>23.120000000000001</v>
      </c>
      <c r="D19">
        <f>9.69220293930259-1.8</f>
        <v>7.8922029393025896</v>
      </c>
      <c r="F19">
        <f t="shared" si="1787"/>
        <v>16</v>
      </c>
      <c r="G19" t="e">
        <v>#NAME?</v>
      </c>
      <c r="H19" t="e">
        <v>#NAME?</v>
      </c>
      <c r="I19" t="e">
        <v>#NAME?</v>
      </c>
      <c r="J19" t="e">
        <f/>
        <v>#NAME?</v>
      </c>
      <c r="L19" s="14" t="str">
        <f/>
        <v>X2</v>
      </c>
      <c r="M19" s="14" t="e">
        <v>#NAME?</v>
      </c>
      <c r="N19" s="14" t="e">
        <v>#NAME?</v>
      </c>
      <c r="O19" s="14" t="e">
        <f t="shared" si="1794"/>
        <v>#NAME?</v>
      </c>
      <c r="P19" s="14" t="e">
        <f t="shared" si="1795"/>
        <v>#NAME?</v>
      </c>
      <c r="Q19" s="14" t="e">
        <f t="shared" si="1796"/>
        <v>#NAME?</v>
      </c>
      <c r="R19" s="14" t="e">
        <f t="shared" si="1797"/>
        <v>#NAME?</v>
      </c>
      <c r="S19" s="14" t="e">
        <v>#NAME?</v>
      </c>
      <c r="U19" s="15">
        <f t="shared" si="1788"/>
        <v>15</v>
      </c>
      <c r="V19" t="e">
        <f t="shared" si="1789"/>
        <v>#NAME?</v>
      </c>
      <c r="W19" t="e">
        <f t="shared" si="1790"/>
        <v>#NAME?</v>
      </c>
      <c r="Z19" t="s">
        <v>507</v>
      </c>
      <c r="AA19" s="7" t="e">
        <f>-(AA22-2*(AA9+AA10))/2</f>
        <v>#NAME?</v>
      </c>
      <c r="AM19">
        <f t="shared" si="1779"/>
        <v>15</v>
      </c>
      <c r="AN19" t="e">
        <f t="shared" si="1780"/>
        <v>#NAME?</v>
      </c>
      <c r="AO19" t="e">
        <f t="shared" si="1781"/>
        <v>#NAME?</v>
      </c>
      <c r="AP19" t="e">
        <f t="shared" si="1782"/>
        <v>#NAME?</v>
      </c>
      <c r="AQ19" t="e">
        <f t="shared" si="1775"/>
        <v>#NAME?</v>
      </c>
      <c r="AR19" t="e">
        <f t="shared" si="1783"/>
        <v>#NAME?</v>
      </c>
      <c r="AS19" t="e">
        <f t="shared" si="1784"/>
        <v>#NAME?</v>
      </c>
      <c r="AU19">
        <f t="shared" si="1791"/>
        <v>16</v>
      </c>
      <c r="AV19" t="e">
        <f t="shared" si="1785"/>
        <v>#NAME?</v>
      </c>
    </row>
    <row r="20">
      <c r="A20">
        <f t="shared" si="1786"/>
        <v>17</v>
      </c>
      <c r="B20" s="85">
        <v>12</v>
      </c>
      <c r="C20" s="87">
        <v>25.32</v>
      </c>
      <c r="D20">
        <v>11.205574770625869</v>
      </c>
      <c r="F20">
        <f t="shared" si="1787"/>
        <v>17</v>
      </c>
      <c r="G20" t="e">
        <v>#NAME?</v>
      </c>
      <c r="H20" t="e">
        <v>#NAME?</v>
      </c>
      <c r="I20" t="e">
        <v>#NAME?</v>
      </c>
      <c r="J20" t="e">
        <f/>
        <v>#NAME?</v>
      </c>
      <c r="U20" s="15">
        <f t="shared" si="1788"/>
        <v>16</v>
      </c>
      <c r="V20" t="e">
        <f t="shared" si="1789"/>
        <v>#NAME?</v>
      </c>
      <c r="W20" t="e">
        <f t="shared" si="1790"/>
        <v>#NAME?</v>
      </c>
      <c r="Z20" t="s">
        <v>374</v>
      </c>
      <c r="AA20" s="10" t="e">
        <f>AA17*LN(AA7/AA17)+2*(AA9+AA10)</f>
        <v>#NAME?</v>
      </c>
      <c r="AM20">
        <f t="shared" si="1779"/>
        <v>16</v>
      </c>
      <c r="AN20" t="e">
        <f t="shared" si="1780"/>
        <v>#NAME?</v>
      </c>
      <c r="AO20" t="e">
        <f t="shared" si="1781"/>
        <v>#NAME?</v>
      </c>
      <c r="AP20" t="e">
        <f t="shared" si="1782"/>
        <v>#NAME?</v>
      </c>
      <c r="AQ20" t="e">
        <f t="shared" si="1775"/>
        <v>#NAME?</v>
      </c>
      <c r="AR20" t="e">
        <f t="shared" si="1783"/>
        <v>#NAME?</v>
      </c>
      <c r="AS20" t="e">
        <f t="shared" si="1784"/>
        <v>#NAME?</v>
      </c>
      <c r="AU20">
        <f t="shared" si="1791"/>
        <v>17</v>
      </c>
      <c r="AV20" t="e">
        <f t="shared" si="1785"/>
        <v>#NAME?</v>
      </c>
    </row>
    <row r="21">
      <c r="A21">
        <f t="shared" si="1786"/>
        <v>18</v>
      </c>
      <c r="B21" s="85">
        <v>13.5</v>
      </c>
      <c r="C21" s="87">
        <v>27.895</v>
      </c>
      <c r="D21">
        <f>12.6521164165148-0.2</f>
        <v>12.4521164165148</v>
      </c>
      <c r="F21">
        <f t="shared" si="1787"/>
        <v>18</v>
      </c>
      <c r="G21" t="e">
        <v>#NAME?</v>
      </c>
      <c r="H21" t="e">
        <v>#NAME?</v>
      </c>
      <c r="I21" t="e">
        <v>#NAME?</v>
      </c>
      <c r="J21" t="e">
        <f/>
        <v>#NAME?</v>
      </c>
      <c r="U21" s="15">
        <f t="shared" si="1788"/>
        <v>17</v>
      </c>
      <c r="V21" t="e">
        <f t="shared" si="1789"/>
        <v>#NAME?</v>
      </c>
      <c r="W21" t="e">
        <f t="shared" si="1790"/>
        <v>#NAME?</v>
      </c>
      <c r="Z21" t="s">
        <v>508</v>
      </c>
      <c r="AA21" s="10" t="e">
        <f>AA17*LN(AA7/AA17)+LN(AA17)*(AA9+AA10)</f>
        <v>#NAME?</v>
      </c>
      <c r="AM21">
        <f t="shared" si="1779"/>
        <v>17</v>
      </c>
      <c r="AN21" t="e">
        <f t="shared" si="1780"/>
        <v>#NAME?</v>
      </c>
      <c r="AO21" t="e">
        <f t="shared" si="1781"/>
        <v>#NAME?</v>
      </c>
      <c r="AP21" t="e">
        <f t="shared" si="1782"/>
        <v>#NAME?</v>
      </c>
      <c r="AQ21" t="e">
        <f t="shared" si="1775"/>
        <v>#NAME?</v>
      </c>
      <c r="AR21" t="e">
        <f t="shared" si="1783"/>
        <v>#NAME?</v>
      </c>
      <c r="AS21" t="e">
        <f t="shared" si="1784"/>
        <v>#NAME?</v>
      </c>
      <c r="AU21">
        <f t="shared" si="1791"/>
        <v>18</v>
      </c>
      <c r="AV21" t="e">
        <f t="shared" si="1785"/>
        <v>#NAME?</v>
      </c>
    </row>
    <row r="22">
      <c r="A22">
        <f t="shared" si="1786"/>
        <v>19</v>
      </c>
      <c r="B22" s="85">
        <v>16.5</v>
      </c>
      <c r="C22" s="87">
        <v>28.265000000000001</v>
      </c>
      <c r="D22">
        <f>13.4063291686354+0.1</f>
        <v>13.5063291686354</v>
      </c>
      <c r="F22" s="14">
        <f t="shared" si="1787"/>
        <v>19</v>
      </c>
      <c r="G22" s="14" t="e">
        <v>#NAME?</v>
      </c>
      <c r="H22" s="14" t="e">
        <v>#NAME?</v>
      </c>
      <c r="I22" s="14" t="e">
        <v>#NAME?</v>
      </c>
      <c r="J22" s="14" t="e">
        <f/>
        <v>#NAME?</v>
      </c>
      <c r="U22" s="15">
        <f t="shared" si="1788"/>
        <v>18</v>
      </c>
      <c r="V22" t="e">
        <f t="shared" si="1789"/>
        <v>#NAME?</v>
      </c>
      <c r="W22" t="e">
        <f t="shared" si="1790"/>
        <v>#NAME?</v>
      </c>
      <c r="Z22" t="s">
        <v>509</v>
      </c>
      <c r="AA22" s="10" t="e">
        <f>AA17*(1+LN(2*PI()))+AA20</f>
        <v>#NAME?</v>
      </c>
      <c r="AM22">
        <f t="shared" si="1779"/>
        <v>18</v>
      </c>
      <c r="AN22" t="e">
        <f t="shared" si="1780"/>
        <v>#NAME?</v>
      </c>
      <c r="AO22" t="e">
        <f t="shared" si="1781"/>
        <v>#NAME?</v>
      </c>
      <c r="AP22" t="e">
        <f t="shared" si="1782"/>
        <v>#NAME?</v>
      </c>
      <c r="AQ22" t="e">
        <f t="shared" si="1775"/>
        <v>#NAME?</v>
      </c>
      <c r="AR22" t="e">
        <f t="shared" si="1783"/>
        <v>#NAME?</v>
      </c>
      <c r="AS22" t="e">
        <f t="shared" si="1784"/>
        <v>#NAME?</v>
      </c>
      <c r="AU22" s="14">
        <f t="shared" si="1791"/>
        <v>19</v>
      </c>
      <c r="AV22" s="14" t="e">
        <f t="shared" si="1785"/>
        <v>#NAME?</v>
      </c>
    </row>
    <row r="23">
      <c r="A23">
        <f t="shared" si="1786"/>
        <v>20</v>
      </c>
      <c r="B23" s="88">
        <v>10</v>
      </c>
      <c r="C23" s="89">
        <v>29.684999999999999</v>
      </c>
      <c r="D23" s="14">
        <f>12.231217930184-0.5</f>
        <v>11.731217930184</v>
      </c>
      <c r="F23">
        <v>20</v>
      </c>
      <c r="G23" s="90">
        <f t="shared" ref="G23:G25" si="1798">B24-B23</f>
        <v>2</v>
      </c>
      <c r="H23" s="90">
        <f t="shared" ref="H23:H25" si="1799">C24-C23</f>
        <v>0.315000000000001</v>
      </c>
      <c r="I23" s="91" t="e">
        <f t="array" ref="I23:I25">TREND(I4:I22,G4:H22,G23:H25)+J23:J25</f>
        <v>#NAME?</v>
      </c>
      <c r="J23" s="92" t="e">
        <f t="shared" ref="J23:J25" si="1800">AV23</f>
        <v>#NAME?</v>
      </c>
      <c r="U23" s="17">
        <f t="shared" si="1788"/>
        <v>19</v>
      </c>
      <c r="V23" s="14" t="e">
        <f t="shared" si="1789"/>
        <v>#NAME?</v>
      </c>
      <c r="W23" s="14" t="e">
        <f t="shared" si="1790"/>
        <v>#NAME?</v>
      </c>
      <c r="Z23" t="s">
        <v>510</v>
      </c>
      <c r="AA23" s="13" t="e">
        <f>AA17*(1+LN(2*PI()))+AA21</f>
        <v>#NAME?</v>
      </c>
      <c r="AM23">
        <f t="shared" si="1779"/>
        <v>19</v>
      </c>
      <c r="AN23" t="e">
        <f t="shared" si="1780"/>
        <v>#NAME?</v>
      </c>
      <c r="AO23" t="e">
        <f t="shared" si="1781"/>
        <v>#NAME?</v>
      </c>
      <c r="AP23" t="e">
        <f t="shared" si="1782"/>
        <v>#NAME?</v>
      </c>
      <c r="AQ23" t="e">
        <f t="shared" si="1775"/>
        <v>#NAME?</v>
      </c>
      <c r="AR23" t="e">
        <f t="shared" si="1783"/>
        <v>#NAME?</v>
      </c>
      <c r="AS23" t="e">
        <f t="shared" si="1784"/>
        <v>#NAME?</v>
      </c>
      <c r="AU23">
        <f t="shared" si="1791"/>
        <v>20</v>
      </c>
      <c r="AV23" t="e">
        <f t="shared" ref="AV23:AV25" si="1801">AP24</f>
        <v>#NAME?</v>
      </c>
    </row>
    <row r="24">
      <c r="A24">
        <v>21</v>
      </c>
      <c r="B24" s="93">
        <v>12</v>
      </c>
      <c r="C24" s="94">
        <v>30</v>
      </c>
      <c r="D24" s="91" t="e">
        <f t="shared" ref="D24:D26" si="1802">D23+I23</f>
        <v>#NAME?</v>
      </c>
      <c r="F24">
        <v>21</v>
      </c>
      <c r="G24" s="90">
        <f t="shared" si="1798"/>
        <v>2</v>
      </c>
      <c r="H24" s="90">
        <f t="shared" si="1799"/>
        <v>0.5</v>
      </c>
      <c r="I24" s="91" t="e">
        <f/>
        <v>#NAME?</v>
      </c>
      <c r="J24" s="92">
        <f t="shared" si="1800"/>
        <v>0</v>
      </c>
      <c r="AM24">
        <f t="shared" ref="AM24:AM26" si="1803">AM23+1</f>
        <v>20</v>
      </c>
      <c r="AP24" t="e">
        <f>SUMPRODUCT(AO23,AA4)</f>
        <v>#NAME?</v>
      </c>
      <c r="AQ24" t="e">
        <f t="shared" ref="AQ24:AQ26" si="1804">AA$14*SQRT(SUMSQ(AD$13:AD13))</f>
        <v>#NAME?</v>
      </c>
      <c r="AR24" t="e">
        <f t="shared" si="1783"/>
        <v>#NAME?</v>
      </c>
      <c r="AS24" t="e">
        <f t="shared" si="1784"/>
        <v>#NAME?</v>
      </c>
      <c r="AU24">
        <f t="shared" si="1791"/>
        <v>21</v>
      </c>
      <c r="AV24">
        <f t="shared" si="1801"/>
        <v>0</v>
      </c>
    </row>
    <row r="25">
      <c r="A25">
        <v>22</v>
      </c>
      <c r="B25" s="93">
        <v>14</v>
      </c>
      <c r="C25" s="94">
        <v>30.5</v>
      </c>
      <c r="D25" s="91" t="e">
        <f t="shared" si="1802"/>
        <v>#NAME?</v>
      </c>
      <c r="F25" s="14">
        <v>22</v>
      </c>
      <c r="G25" s="95">
        <f t="shared" si="1798"/>
        <v>1</v>
      </c>
      <c r="H25" s="95">
        <f t="shared" si="1799"/>
        <v>1</v>
      </c>
      <c r="I25" s="96" t="e">
        <f/>
        <v>#NAME?</v>
      </c>
      <c r="J25" s="97">
        <f t="shared" si="1800"/>
        <v>0</v>
      </c>
      <c r="AM25">
        <f t="shared" si="1803"/>
        <v>21</v>
      </c>
      <c r="AP25">
        <v>0</v>
      </c>
      <c r="AQ25" t="e">
        <f t="shared" si="1804"/>
        <v>#NAME?</v>
      </c>
      <c r="AR25" t="e">
        <f t="shared" si="1783"/>
        <v>#NAME?</v>
      </c>
      <c r="AS25" t="e">
        <f t="shared" si="1784"/>
        <v>#NAME?</v>
      </c>
      <c r="AU25" s="14">
        <f t="shared" si="1791"/>
        <v>22</v>
      </c>
      <c r="AV25" s="14">
        <f t="shared" si="1801"/>
        <v>0</v>
      </c>
    </row>
    <row r="26">
      <c r="A26">
        <v>23</v>
      </c>
      <c r="B26" s="98">
        <v>15</v>
      </c>
      <c r="C26" s="99">
        <v>31.5</v>
      </c>
      <c r="D26" s="96" t="e">
        <f t="shared" si="1802"/>
        <v>#NAME?</v>
      </c>
      <c r="AM26" s="14">
        <f t="shared" si="1803"/>
        <v>22</v>
      </c>
      <c r="AN26" s="14"/>
      <c r="AO26" s="14"/>
      <c r="AP26" s="14">
        <v>0</v>
      </c>
      <c r="AQ26" s="14" t="e">
        <f t="shared" si="1804"/>
        <v>#NAME?</v>
      </c>
      <c r="AR26" s="14" t="e">
        <f t="shared" si="1783"/>
        <v>#NAME?</v>
      </c>
      <c r="AS26" s="14" t="e">
        <f t="shared" si="1784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0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A10" zoomScale="100" workbookViewId="0">
      <selection activeCell="I23" activeCellId="0" sqref="I23"/>
    </sheetView>
  </sheetViews>
  <sheetFormatPr defaultRowHeight="14.25"/>
  <cols>
    <col customWidth="1" min="1" max="1" width="4.8125"/>
    <col customWidth="1" min="2" max="2" width="6.4553570000000002"/>
    <col customWidth="1" min="3" max="3" width="7.7232139999999996"/>
  </cols>
  <sheetData>
    <row r="1">
      <c r="A1" s="1"/>
      <c r="B1" s="1"/>
      <c r="C1" s="1"/>
      <c r="F1" t="s">
        <v>662</v>
      </c>
      <c r="L1" t="s">
        <v>369</v>
      </c>
      <c r="U1" t="s">
        <v>578</v>
      </c>
      <c r="Y1" t="s">
        <v>475</v>
      </c>
      <c r="AC1" t="s">
        <v>476</v>
      </c>
      <c r="AG1" t="s">
        <v>477</v>
      </c>
      <c r="AM1" t="s">
        <v>478</v>
      </c>
      <c r="AU1" t="s">
        <v>479</v>
      </c>
      <c r="AX1" t="s">
        <v>663</v>
      </c>
    </row>
    <row r="2">
      <c r="A2" s="55"/>
      <c r="B2" s="55"/>
      <c r="C2" s="55"/>
      <c r="D2" s="55"/>
      <c r="AP2" t="s">
        <v>385</v>
      </c>
      <c r="AQ2">
        <f>0.05</f>
        <v>5.0000000000000003e-02</v>
      </c>
    </row>
    <row r="3">
      <c r="B3" s="4" t="s">
        <v>461</v>
      </c>
      <c r="C3" s="4" t="s">
        <v>462</v>
      </c>
      <c r="D3" s="4" t="s">
        <v>343</v>
      </c>
      <c r="F3" s="24" t="s">
        <v>355</v>
      </c>
      <c r="G3" s="24" t="str">
        <f t="array" ref="G3:H3">B3:C3</f>
        <v>X1</v>
      </c>
      <c r="H3" s="24" t="str">
        <f/>
        <v>X2</v>
      </c>
      <c r="I3" s="24" t="str">
        <f>D3</f>
        <v>Y</v>
      </c>
      <c r="J3" s="24" t="s">
        <v>480</v>
      </c>
      <c r="L3" s="49" t="s">
        <v>371</v>
      </c>
      <c r="M3" s="49"/>
      <c r="O3" s="49"/>
      <c r="P3" s="49"/>
      <c r="U3" s="24" t="s">
        <v>355</v>
      </c>
      <c r="V3" s="24" t="s">
        <v>173</v>
      </c>
      <c r="W3" s="24" t="s">
        <v>480</v>
      </c>
      <c r="Y3" s="24" t="s">
        <v>481</v>
      </c>
      <c r="Z3" s="24" t="s">
        <v>482</v>
      </c>
      <c r="AA3" s="24" t="s">
        <v>483</v>
      </c>
      <c r="AC3" s="24" t="s">
        <v>469</v>
      </c>
      <c r="AD3" s="24" t="s">
        <v>470</v>
      </c>
      <c r="AE3" s="24" t="s">
        <v>484</v>
      </c>
      <c r="AG3" s="24" t="s">
        <v>485</v>
      </c>
      <c r="AH3" s="24" t="s">
        <v>391</v>
      </c>
      <c r="AI3" s="24" t="s">
        <v>183</v>
      </c>
      <c r="AJ3" s="24" t="s">
        <v>582</v>
      </c>
      <c r="AK3" s="24" t="s">
        <v>189</v>
      </c>
      <c r="AM3" s="24" t="s">
        <v>355</v>
      </c>
      <c r="AN3" s="24" t="s">
        <v>173</v>
      </c>
      <c r="AO3" s="24" t="s">
        <v>480</v>
      </c>
      <c r="AP3" s="24" t="s">
        <v>208</v>
      </c>
      <c r="AQ3" s="24" t="s">
        <v>183</v>
      </c>
      <c r="AR3" s="24" t="s">
        <v>215</v>
      </c>
      <c r="AS3" s="24" t="s">
        <v>216</v>
      </c>
      <c r="AU3" s="24" t="s">
        <v>355</v>
      </c>
      <c r="AV3" s="24" t="s">
        <v>193</v>
      </c>
      <c r="AX3" s="24" t="s">
        <v>355</v>
      </c>
      <c r="AY3" s="24" t="s">
        <v>193</v>
      </c>
    </row>
    <row r="4">
      <c r="A4">
        <v>1</v>
      </c>
      <c r="B4" s="85">
        <v>1</v>
      </c>
      <c r="C4" s="87">
        <v>10.895</v>
      </c>
      <c r="D4">
        <f>3.11767564756553+0.7</f>
        <v>3.81767564756553</v>
      </c>
      <c r="F4">
        <v>1</v>
      </c>
      <c r="G4" s="42" t="e">
        <v>#NAME?</v>
      </c>
      <c r="H4" s="42" t="e">
        <v>#NAME?</v>
      </c>
      <c r="I4" s="42" t="e">
        <v>#NAME?</v>
      </c>
      <c r="J4" s="42" t="e">
        <f t="array" ref="J4:J22">I4:I22-TREND(I4:I22,G4:H22,,TRUE)</f>
        <v>#NAME?</v>
      </c>
      <c r="L4" t="s">
        <v>373</v>
      </c>
      <c r="M4" t="e">
        <f>SQRT(M5)</f>
        <v>#NAME?</v>
      </c>
      <c r="O4" t="s">
        <v>374</v>
      </c>
      <c r="P4" t="e">
        <f>M8*LN(N13/M8)+2*(M12+1)</f>
        <v>#NAME?</v>
      </c>
      <c r="U4">
        <v>0</v>
      </c>
      <c r="V4">
        <v>0</v>
      </c>
      <c r="W4">
        <v>0</v>
      </c>
      <c r="Y4" s="15">
        <v>1</v>
      </c>
      <c r="Z4">
        <v>0</v>
      </c>
      <c r="AA4" t="e">
        <f>AH5</f>
        <v>#NAME?</v>
      </c>
      <c r="AG4" t="s">
        <v>494</v>
      </c>
      <c r="AH4" t="e">
        <v>#NAME?</v>
      </c>
      <c r="AI4" t="e">
        <v>#NAME?</v>
      </c>
      <c r="AJ4" t="e">
        <f t="shared" ref="AJ4:AJ5" si="1805">AH4/AI4</f>
        <v>#NAME?</v>
      </c>
      <c r="AK4" t="e">
        <f t="shared" ref="AK4:AK5" si="1806">_xlfn.T.DIST.2T(ABS(AJ4),AA$17-AA$9-AA$10-1)</f>
        <v>#NAME?</v>
      </c>
      <c r="AM4">
        <f t="shared" ref="AM4:AM9" si="1807">U4</f>
        <v>0</v>
      </c>
      <c r="AN4">
        <f t="shared" ref="AN4:AN9" si="1808">V4</f>
        <v>0</v>
      </c>
      <c r="AO4">
        <f t="shared" ref="AO4:AO9" si="1809">W4</f>
        <v>0</v>
      </c>
      <c r="AU4">
        <v>1</v>
      </c>
      <c r="AV4" t="e">
        <f t="shared" ref="AV4:AV9" si="1810">J4</f>
        <v>#NAME?</v>
      </c>
      <c r="AX4" s="42">
        <v>1</v>
      </c>
      <c r="AY4" s="42">
        <f t="shared" ref="AY4:AY9" si="1811">D4</f>
        <v>3.81767564756553</v>
      </c>
    </row>
    <row r="5">
      <c r="A5">
        <f t="shared" ref="A5:A10" si="1812">A4+1</f>
        <v>2</v>
      </c>
      <c r="B5" s="85">
        <v>2</v>
      </c>
      <c r="C5" s="87">
        <v>11.895</v>
      </c>
      <c r="D5">
        <v>6.5100100000000003</v>
      </c>
      <c r="F5">
        <f t="shared" ref="F5:F10" si="1813">F4+1</f>
        <v>2</v>
      </c>
      <c r="G5" t="e">
        <v>#NAME?</v>
      </c>
      <c r="H5" t="e">
        <v>#NAME?</v>
      </c>
      <c r="I5" t="e">
        <v>#NAME?</v>
      </c>
      <c r="J5" t="e">
        <f/>
        <v>#NAME?</v>
      </c>
      <c r="L5" t="s">
        <v>375</v>
      </c>
      <c r="M5" t="e">
        <f>N12/N14</f>
        <v>#NAME?</v>
      </c>
      <c r="O5" t="s">
        <v>376</v>
      </c>
      <c r="P5" t="e">
        <f>P4+2*(M12+2)*(M12+3)/(M8-M12-3)</f>
        <v>#NAME?</v>
      </c>
      <c r="U5">
        <f t="shared" ref="U5:U10" si="1814">U4+1</f>
        <v>1</v>
      </c>
      <c r="V5" t="e">
        <f t="shared" ref="V5:V10" si="1815">J4</f>
        <v>#NAME?</v>
      </c>
      <c r="W5" t="e">
        <f t="shared" ref="W5:W9" si="1816">V5-SUMPRODUCT(W4,AA$4)</f>
        <v>#NAME?</v>
      </c>
      <c r="Y5" s="17" t="s">
        <v>494</v>
      </c>
      <c r="Z5" s="14" t="e">
        <f>AH4</f>
        <v>#NAME?</v>
      </c>
      <c r="AA5" s="14" t="e">
        <f>Z5</f>
        <v>#NAME?</v>
      </c>
      <c r="AC5" t="s">
        <v>495</v>
      </c>
      <c r="AG5" s="14" t="s">
        <v>581</v>
      </c>
      <c r="AH5" s="14" t="e">
        <v>#NAME?</v>
      </c>
      <c r="AI5" s="14" t="e">
        <v>#NAME?</v>
      </c>
      <c r="AJ5" s="14" t="e">
        <f t="shared" si="1805"/>
        <v>#NAME?</v>
      </c>
      <c r="AK5" s="14" t="e">
        <f t="shared" si="1806"/>
        <v>#NAME?</v>
      </c>
      <c r="AM5">
        <f t="shared" si="1807"/>
        <v>1</v>
      </c>
      <c r="AN5" t="e">
        <f t="shared" si="1808"/>
        <v>#NAME?</v>
      </c>
      <c r="AO5" t="e">
        <f t="shared" si="1809"/>
        <v>#NAME?</v>
      </c>
      <c r="AP5" t="e">
        <f t="shared" ref="AP5:AP9" si="1817">AN5-AO5</f>
        <v>#NAME?</v>
      </c>
      <c r="AQ5" t="e">
        <f t="shared" ref="AQ5:AQ23" si="1818">AA$14</f>
        <v>#NAME?</v>
      </c>
      <c r="AR5" t="e">
        <f t="shared" ref="AR5:AR9" si="1819">AP5-_xlfn.NORM.S.INV(1-AQ$2/2)*AQ5</f>
        <v>#NAME?</v>
      </c>
      <c r="AS5" t="e">
        <f t="shared" ref="AS5:AS9" si="1820">AP5+_xlfn.NORM.S.INV(1-AQ$2/2)*AQ5</f>
        <v>#NAME?</v>
      </c>
      <c r="AU5">
        <f t="shared" ref="AU5:AU10" si="1821">AU4+1</f>
        <v>2</v>
      </c>
      <c r="AV5" t="e">
        <f t="shared" si="1810"/>
        <v>#NAME?</v>
      </c>
      <c r="AX5">
        <f t="shared" ref="AX5:AX10" si="1822">AX4+1</f>
        <v>2</v>
      </c>
      <c r="AY5">
        <f t="shared" si="1811"/>
        <v>6.5100100000000003</v>
      </c>
    </row>
    <row r="6">
      <c r="A6">
        <f t="shared" si="1812"/>
        <v>3</v>
      </c>
      <c r="B6" s="85">
        <v>3.5</v>
      </c>
      <c r="C6" s="87">
        <v>12.685</v>
      </c>
      <c r="D6">
        <f>4.90676859838178-0.5</f>
        <v>4.4067685983817801</v>
      </c>
      <c r="F6">
        <f t="shared" si="1813"/>
        <v>3</v>
      </c>
      <c r="G6" t="e">
        <v>#NAME?</v>
      </c>
      <c r="H6" t="e">
        <v>#NAME?</v>
      </c>
      <c r="I6" t="e">
        <v>#NAME?</v>
      </c>
      <c r="J6" t="e">
        <f/>
        <v>#NAME?</v>
      </c>
      <c r="L6" t="s">
        <v>378</v>
      </c>
      <c r="M6" t="e">
        <f>1-(1-M5)*(M8-1)/(M8-M12-1)</f>
        <v>#NAME?</v>
      </c>
      <c r="O6" s="14" t="s">
        <v>395</v>
      </c>
      <c r="P6" s="14" t="e">
        <f>M8*LN(N13/M8)+(M12+1)*LN(M8)</f>
        <v>#NAME?</v>
      </c>
      <c r="U6">
        <f t="shared" si="1814"/>
        <v>2</v>
      </c>
      <c r="V6" t="e">
        <f t="shared" si="1815"/>
        <v>#NAME?</v>
      </c>
      <c r="W6" t="e">
        <f t="shared" si="1816"/>
        <v>#NAME?</v>
      </c>
      <c r="AM6">
        <f t="shared" si="1807"/>
        <v>2</v>
      </c>
      <c r="AN6" t="e">
        <f t="shared" si="1808"/>
        <v>#NAME?</v>
      </c>
      <c r="AO6" t="e">
        <f t="shared" si="1809"/>
        <v>#NAME?</v>
      </c>
      <c r="AP6" t="e">
        <f t="shared" si="1817"/>
        <v>#NAME?</v>
      </c>
      <c r="AQ6" t="e">
        <f t="shared" si="1818"/>
        <v>#NAME?</v>
      </c>
      <c r="AR6" t="e">
        <f t="shared" si="1819"/>
        <v>#NAME?</v>
      </c>
      <c r="AS6" t="e">
        <f t="shared" si="1820"/>
        <v>#NAME?</v>
      </c>
      <c r="AU6">
        <f t="shared" si="1821"/>
        <v>3</v>
      </c>
      <c r="AV6" t="e">
        <f t="shared" si="1810"/>
        <v>#NAME?</v>
      </c>
      <c r="AX6">
        <f t="shared" si="1822"/>
        <v>3</v>
      </c>
      <c r="AY6">
        <f t="shared" si="1811"/>
        <v>4.4067685983817801</v>
      </c>
    </row>
    <row r="7">
      <c r="A7">
        <f t="shared" si="1812"/>
        <v>4</v>
      </c>
      <c r="B7" s="85">
        <v>3.5</v>
      </c>
      <c r="C7" s="87">
        <v>13.58</v>
      </c>
      <c r="D7">
        <f>6.11947448226024+0.0001</f>
        <v>6.1195744822602398</v>
      </c>
      <c r="F7">
        <f t="shared" si="1813"/>
        <v>4</v>
      </c>
      <c r="G7" t="e">
        <v>#NAME?</v>
      </c>
      <c r="H7" t="e">
        <v>#NAME?</v>
      </c>
      <c r="I7" t="e">
        <v>#NAME?</v>
      </c>
      <c r="J7" t="e">
        <f/>
        <v>#NAME?</v>
      </c>
      <c r="L7" t="s">
        <v>381</v>
      </c>
      <c r="M7" t="e">
        <f>SQRT(O13)</f>
        <v>#NAME?</v>
      </c>
      <c r="U7">
        <f t="shared" si="1814"/>
        <v>3</v>
      </c>
      <c r="V7" t="e">
        <f t="shared" si="1815"/>
        <v>#NAME?</v>
      </c>
      <c r="W7" t="e">
        <f t="shared" si="1816"/>
        <v>#NAME?</v>
      </c>
      <c r="Z7" t="s">
        <v>464</v>
      </c>
      <c r="AA7" s="18" t="e">
        <f>SUMSQ(W5:W23)</f>
        <v>#NAME?</v>
      </c>
      <c r="AC7" s="24" t="s">
        <v>469</v>
      </c>
      <c r="AD7" s="24" t="s">
        <v>470</v>
      </c>
      <c r="AE7" s="24" t="s">
        <v>484</v>
      </c>
      <c r="AM7">
        <f t="shared" si="1807"/>
        <v>3</v>
      </c>
      <c r="AN7" t="e">
        <f t="shared" si="1808"/>
        <v>#NAME?</v>
      </c>
      <c r="AO7" t="e">
        <f t="shared" si="1809"/>
        <v>#NAME?</v>
      </c>
      <c r="AP7" t="e">
        <f t="shared" si="1817"/>
        <v>#NAME?</v>
      </c>
      <c r="AQ7" t="e">
        <f t="shared" si="1818"/>
        <v>#NAME?</v>
      </c>
      <c r="AR7" t="e">
        <f t="shared" si="1819"/>
        <v>#NAME?</v>
      </c>
      <c r="AS7" t="e">
        <f t="shared" si="1820"/>
        <v>#NAME?</v>
      </c>
      <c r="AU7">
        <f t="shared" si="1821"/>
        <v>4</v>
      </c>
      <c r="AV7" t="e">
        <f t="shared" si="1810"/>
        <v>#NAME?</v>
      </c>
      <c r="AX7">
        <f t="shared" si="1822"/>
        <v>4</v>
      </c>
      <c r="AY7">
        <f t="shared" si="1811"/>
        <v>6.1195744822602398</v>
      </c>
    </row>
    <row r="8">
      <c r="A8">
        <f t="shared" si="1812"/>
        <v>5</v>
      </c>
      <c r="B8" s="85">
        <v>3</v>
      </c>
      <c r="C8" s="87">
        <v>14.895</v>
      </c>
      <c r="D8">
        <v>8.1353263117657075</v>
      </c>
      <c r="F8">
        <f t="shared" si="1813"/>
        <v>5</v>
      </c>
      <c r="G8" t="e">
        <v>#NAME?</v>
      </c>
      <c r="H8" t="e">
        <v>#NAME?</v>
      </c>
      <c r="I8" t="e">
        <v>#NAME?</v>
      </c>
      <c r="J8" t="e">
        <f/>
        <v>#NAME?</v>
      </c>
      <c r="L8" s="14" t="s">
        <v>383</v>
      </c>
      <c r="M8" s="14">
        <f>COUNT(I4:I22)</f>
        <v>0</v>
      </c>
      <c r="U8">
        <f t="shared" si="1814"/>
        <v>4</v>
      </c>
      <c r="V8" t="e">
        <f t="shared" si="1815"/>
        <v>#NAME?</v>
      </c>
      <c r="W8" t="e">
        <f t="shared" si="1816"/>
        <v>#NAME?</v>
      </c>
      <c r="AC8" s="26" t="e">
        <v>#NAME?</v>
      </c>
      <c r="AD8" s="26" t="e">
        <v>#NAME?</v>
      </c>
      <c r="AE8" s="26" t="e">
        <v>#NAME?</v>
      </c>
      <c r="AM8">
        <f t="shared" si="1807"/>
        <v>4</v>
      </c>
      <c r="AN8" t="e">
        <f t="shared" si="1808"/>
        <v>#NAME?</v>
      </c>
      <c r="AO8" t="e">
        <f t="shared" si="1809"/>
        <v>#NAME?</v>
      </c>
      <c r="AP8" t="e">
        <f t="shared" si="1817"/>
        <v>#NAME?</v>
      </c>
      <c r="AQ8" t="e">
        <f t="shared" si="1818"/>
        <v>#NAME?</v>
      </c>
      <c r="AR8" t="e">
        <f t="shared" si="1819"/>
        <v>#NAME?</v>
      </c>
      <c r="AS8" t="e">
        <f t="shared" si="1820"/>
        <v>#NAME?</v>
      </c>
      <c r="AU8">
        <f t="shared" si="1821"/>
        <v>5</v>
      </c>
      <c r="AV8" t="e">
        <f t="shared" si="1810"/>
        <v>#NAME?</v>
      </c>
      <c r="AX8">
        <f t="shared" si="1822"/>
        <v>5</v>
      </c>
      <c r="AY8">
        <f t="shared" si="1811"/>
        <v>8.1353263117657093</v>
      </c>
    </row>
    <row r="9">
      <c r="A9">
        <f t="shared" si="1812"/>
        <v>6</v>
      </c>
      <c r="B9" s="85">
        <v>4.5</v>
      </c>
      <c r="C9" s="87">
        <v>15.699999999999999</v>
      </c>
      <c r="D9">
        <v>9.3448674266459744</v>
      </c>
      <c r="F9">
        <f t="shared" si="1813"/>
        <v>6</v>
      </c>
      <c r="G9" t="e">
        <v>#NAME?</v>
      </c>
      <c r="H9" t="e">
        <v>#NAME?</v>
      </c>
      <c r="I9" t="e">
        <v>#NAME?</v>
      </c>
      <c r="J9" t="e">
        <f/>
        <v>#NAME?</v>
      </c>
      <c r="U9">
        <f t="shared" si="1814"/>
        <v>5</v>
      </c>
      <c r="V9" t="e">
        <f t="shared" si="1815"/>
        <v>#NAME?</v>
      </c>
      <c r="W9" t="e">
        <f t="shared" si="1816"/>
        <v>#NAME?</v>
      </c>
      <c r="Z9" t="s">
        <v>497</v>
      </c>
      <c r="AA9" s="7">
        <v>0</v>
      </c>
      <c r="AM9">
        <f t="shared" si="1807"/>
        <v>5</v>
      </c>
      <c r="AN9" t="e">
        <f t="shared" si="1808"/>
        <v>#NAME?</v>
      </c>
      <c r="AO9" t="e">
        <f t="shared" si="1809"/>
        <v>#NAME?</v>
      </c>
      <c r="AP9" t="e">
        <f t="shared" si="1817"/>
        <v>#NAME?</v>
      </c>
      <c r="AQ9" t="e">
        <f t="shared" si="1818"/>
        <v>#NAME?</v>
      </c>
      <c r="AR9" t="e">
        <f t="shared" si="1819"/>
        <v>#NAME?</v>
      </c>
      <c r="AS9" t="e">
        <f t="shared" si="1820"/>
        <v>#NAME?</v>
      </c>
      <c r="AU9">
        <f t="shared" si="1821"/>
        <v>6</v>
      </c>
      <c r="AV9" t="e">
        <f t="shared" si="1810"/>
        <v>#NAME?</v>
      </c>
      <c r="AX9">
        <f t="shared" si="1822"/>
        <v>6</v>
      </c>
      <c r="AY9">
        <f t="shared" si="1811"/>
        <v>9.3448674266459797</v>
      </c>
    </row>
    <row r="10">
      <c r="A10">
        <f t="shared" si="1812"/>
        <v>7</v>
      </c>
      <c r="B10" s="85">
        <v>5</v>
      </c>
      <c r="C10" s="87">
        <v>16.789999999999999</v>
      </c>
      <c r="D10">
        <v>9.1476506838871607</v>
      </c>
      <c r="F10">
        <f t="shared" si="1813"/>
        <v>7</v>
      </c>
      <c r="G10" t="e">
        <v>#NAME?</v>
      </c>
      <c r="H10" t="e">
        <v>#NAME?</v>
      </c>
      <c r="I10" t="e">
        <v>#NAME?</v>
      </c>
      <c r="J10" t="e">
        <f/>
        <v>#NAME?</v>
      </c>
      <c r="L10" t="s">
        <v>384</v>
      </c>
      <c r="P10" s="15" t="s">
        <v>385</v>
      </c>
      <c r="Q10" s="15">
        <v>5.0000000000000003e-02</v>
      </c>
      <c r="U10">
        <f t="shared" si="1814"/>
        <v>6</v>
      </c>
      <c r="V10" t="e">
        <f t="shared" si="1815"/>
        <v>#NAME?</v>
      </c>
      <c r="W10" t="e">
        <f>V10-SUMPRODUCT(W9,AA$4)</f>
        <v>#NAME?</v>
      </c>
      <c r="Z10" t="s">
        <v>498</v>
      </c>
      <c r="AA10" s="10">
        <v>1</v>
      </c>
      <c r="AC10" t="s">
        <v>499</v>
      </c>
      <c r="AM10">
        <f t="shared" ref="AM10:AM23" si="1823">U10</f>
        <v>6</v>
      </c>
      <c r="AN10" t="e">
        <f t="shared" ref="AN10:AN23" si="1824">V10</f>
        <v>#NAME?</v>
      </c>
      <c r="AO10" t="e">
        <f t="shared" ref="AO10:AO23" si="1825">W10</f>
        <v>#NAME?</v>
      </c>
      <c r="AP10" t="e">
        <f t="shared" ref="AP10:AP23" si="1826">AN10-AO10</f>
        <v>#NAME?</v>
      </c>
      <c r="AQ10" t="e">
        <f t="shared" si="1818"/>
        <v>#NAME?</v>
      </c>
      <c r="AR10" t="e">
        <f t="shared" ref="AR10:AR26" si="1827">AP10-_xlfn.NORM.S.INV(1-AQ$2/2)*AQ10</f>
        <v>#NAME?</v>
      </c>
      <c r="AS10" t="e">
        <f t="shared" ref="AS10:AS26" si="1828">AP10+_xlfn.NORM.S.INV(1-AQ$2/2)*AQ10</f>
        <v>#NAME?</v>
      </c>
      <c r="AU10">
        <f t="shared" si="1821"/>
        <v>7</v>
      </c>
      <c r="AV10" t="e">
        <f t="shared" ref="AV10:AV22" si="1829">J10</f>
        <v>#NAME?</v>
      </c>
      <c r="AX10">
        <f t="shared" si="1822"/>
        <v>7</v>
      </c>
      <c r="AY10">
        <f t="shared" ref="AY10:AY23" si="1830">D10</f>
        <v>9.1476506838871607</v>
      </c>
    </row>
    <row r="11">
      <c r="A11">
        <f t="shared" ref="A11:A23" si="1831">A10+1</f>
        <v>8</v>
      </c>
      <c r="B11" s="85">
        <v>4.5</v>
      </c>
      <c r="C11" s="87">
        <v>17.475000000000001</v>
      </c>
      <c r="D11">
        <f>8.10149328130298</f>
        <v>8.1014932813029805</v>
      </c>
      <c r="F11">
        <f t="shared" ref="F11:F22" si="1832">F10+1</f>
        <v>8</v>
      </c>
      <c r="G11" t="e">
        <v>#NAME?</v>
      </c>
      <c r="H11" t="e">
        <v>#NAME?</v>
      </c>
      <c r="I11" t="e">
        <v>#NAME?</v>
      </c>
      <c r="J11" t="e">
        <f/>
        <v>#NAME?</v>
      </c>
      <c r="L11" s="24"/>
      <c r="M11" s="24" t="s">
        <v>294</v>
      </c>
      <c r="N11" s="24" t="s">
        <v>386</v>
      </c>
      <c r="O11" s="24" t="s">
        <v>387</v>
      </c>
      <c r="P11" s="24" t="s">
        <v>388</v>
      </c>
      <c r="Q11" s="24" t="s">
        <v>189</v>
      </c>
      <c r="R11" s="24" t="s">
        <v>204</v>
      </c>
      <c r="U11">
        <f t="shared" ref="U11:U23" si="1833">U10+1</f>
        <v>7</v>
      </c>
      <c r="V11" t="e">
        <f t="shared" ref="V11:V23" si="1834">J10</f>
        <v>#NAME?</v>
      </c>
      <c r="W11" t="e">
        <f t="shared" ref="W11:W23" si="1835">V11-SUMPRODUCT(W10,AA$4)</f>
        <v>#NAME?</v>
      </c>
      <c r="Z11" t="s">
        <v>181</v>
      </c>
      <c r="AA11" s="10">
        <v>0</v>
      </c>
      <c r="AM11">
        <f t="shared" si="1823"/>
        <v>7</v>
      </c>
      <c r="AN11" t="e">
        <f t="shared" si="1824"/>
        <v>#NAME?</v>
      </c>
      <c r="AO11" t="e">
        <f t="shared" si="1825"/>
        <v>#NAME?</v>
      </c>
      <c r="AP11" t="e">
        <f t="shared" si="1826"/>
        <v>#NAME?</v>
      </c>
      <c r="AQ11" t="e">
        <f t="shared" si="1818"/>
        <v>#NAME?</v>
      </c>
      <c r="AR11" t="e">
        <f t="shared" si="1827"/>
        <v>#NAME?</v>
      </c>
      <c r="AS11" t="e">
        <f t="shared" si="1828"/>
        <v>#NAME?</v>
      </c>
      <c r="AU11">
        <f t="shared" ref="AU11:AU25" si="1836">AU10+1</f>
        <v>8</v>
      </c>
      <c r="AV11" t="e">
        <f t="shared" si="1829"/>
        <v>#NAME?</v>
      </c>
      <c r="AX11">
        <f t="shared" ref="AX11:AX26" si="1837">AX10+1</f>
        <v>8</v>
      </c>
      <c r="AY11">
        <f t="shared" si="1830"/>
        <v>8.1014932813029805</v>
      </c>
    </row>
    <row r="12">
      <c r="A12">
        <f t="shared" si="1831"/>
        <v>9</v>
      </c>
      <c r="B12" s="85">
        <v>8</v>
      </c>
      <c r="C12" s="87">
        <v>18.475000000000001</v>
      </c>
      <c r="D12">
        <v>10.146419029172929</v>
      </c>
      <c r="F12">
        <f t="shared" si="1832"/>
        <v>9</v>
      </c>
      <c r="G12" t="e">
        <v>#NAME?</v>
      </c>
      <c r="H12" t="e">
        <v>#NAME?</v>
      </c>
      <c r="I12" t="e">
        <v>#NAME?</v>
      </c>
      <c r="J12" t="e">
        <f/>
        <v>#NAME?</v>
      </c>
      <c r="L12" t="s">
        <v>389</v>
      </c>
      <c r="M12">
        <f>COUNT(G4:H4)</f>
        <v>0</v>
      </c>
      <c r="N12" t="e">
        <v>#NAME?</v>
      </c>
      <c r="O12" t="e">
        <f t="shared" ref="O12:O13" si="1838">N12/M12</f>
        <v>#NAME?</v>
      </c>
      <c r="P12" t="e">
        <f>O12/O13</f>
        <v>#NAME?</v>
      </c>
      <c r="Q12" t="e">
        <f>_xlfn.F.DIST.RT(P12,M12,M13)</f>
        <v>#NAME?</v>
      </c>
      <c r="R12" s="15" t="e">
        <f>IF(Q12&lt;Q10,"yes","no")</f>
        <v>#NAME?</v>
      </c>
      <c r="U12">
        <f t="shared" si="1833"/>
        <v>8</v>
      </c>
      <c r="V12" t="e">
        <f t="shared" si="1834"/>
        <v>#NAME?</v>
      </c>
      <c r="W12" t="e">
        <f t="shared" si="1835"/>
        <v>#NAME?</v>
      </c>
      <c r="Z12" t="s">
        <v>500</v>
      </c>
      <c r="AA12" s="10" t="e">
        <f>AVERAGE(W5:W23)</f>
        <v>#NAME?</v>
      </c>
      <c r="AC12" s="24" t="s">
        <v>481</v>
      </c>
      <c r="AD12" s="24" t="s">
        <v>501</v>
      </c>
      <c r="AM12">
        <f t="shared" si="1823"/>
        <v>8</v>
      </c>
      <c r="AN12" t="e">
        <f t="shared" si="1824"/>
        <v>#NAME?</v>
      </c>
      <c r="AO12" t="e">
        <f t="shared" si="1825"/>
        <v>#NAME?</v>
      </c>
      <c r="AP12" t="e">
        <f t="shared" si="1826"/>
        <v>#NAME?</v>
      </c>
      <c r="AQ12" t="e">
        <f t="shared" si="1818"/>
        <v>#NAME?</v>
      </c>
      <c r="AR12" t="e">
        <f t="shared" si="1827"/>
        <v>#NAME?</v>
      </c>
      <c r="AS12" t="e">
        <f t="shared" si="1828"/>
        <v>#NAME?</v>
      </c>
      <c r="AU12">
        <f t="shared" si="1836"/>
        <v>9</v>
      </c>
      <c r="AV12" t="e">
        <f t="shared" si="1829"/>
        <v>#NAME?</v>
      </c>
      <c r="AX12">
        <f t="shared" si="1837"/>
        <v>9</v>
      </c>
      <c r="AY12">
        <f t="shared" si="1830"/>
        <v>10.1464190291729</v>
      </c>
    </row>
    <row r="13">
      <c r="A13">
        <f t="shared" si="1831"/>
        <v>10</v>
      </c>
      <c r="B13" s="85">
        <v>11</v>
      </c>
      <c r="C13" s="87">
        <v>19.579999999999998</v>
      </c>
      <c r="D13">
        <v>11.045196349004179</v>
      </c>
      <c r="F13">
        <f t="shared" si="1832"/>
        <v>10</v>
      </c>
      <c r="G13" t="e">
        <v>#NAME?</v>
      </c>
      <c r="H13" t="e">
        <v>#NAME?</v>
      </c>
      <c r="I13" t="e">
        <v>#NAME?</v>
      </c>
      <c r="J13" t="e">
        <f/>
        <v>#NAME?</v>
      </c>
      <c r="L13" t="s">
        <v>342</v>
      </c>
      <c r="M13">
        <f>M14-M12</f>
        <v>-1</v>
      </c>
      <c r="N13" t="e">
        <f>N14-N12</f>
        <v>#NAME?</v>
      </c>
      <c r="O13" t="e">
        <f t="shared" si="1838"/>
        <v>#NAME?</v>
      </c>
      <c r="U13">
        <f t="shared" si="1833"/>
        <v>9</v>
      </c>
      <c r="V13" t="e">
        <f t="shared" si="1834"/>
        <v>#NAME?</v>
      </c>
      <c r="W13" t="e">
        <f t="shared" si="1835"/>
        <v>#NAME?</v>
      </c>
      <c r="Z13" t="s">
        <v>502</v>
      </c>
      <c r="AA13" s="10" t="e">
        <f>_xlfn.STDEV.S(W5:W23)</f>
        <v>#NAME?</v>
      </c>
      <c r="AC13" s="42">
        <v>0</v>
      </c>
      <c r="AD13" s="42" t="e">
        <v>#NAME?</v>
      </c>
      <c r="AM13">
        <f t="shared" si="1823"/>
        <v>9</v>
      </c>
      <c r="AN13" t="e">
        <f t="shared" si="1824"/>
        <v>#NAME?</v>
      </c>
      <c r="AO13" t="e">
        <f t="shared" si="1825"/>
        <v>#NAME?</v>
      </c>
      <c r="AP13" t="e">
        <f t="shared" si="1826"/>
        <v>#NAME?</v>
      </c>
      <c r="AQ13" t="e">
        <f t="shared" si="1818"/>
        <v>#NAME?</v>
      </c>
      <c r="AR13" t="e">
        <f t="shared" si="1827"/>
        <v>#NAME?</v>
      </c>
      <c r="AS13" t="e">
        <f t="shared" si="1828"/>
        <v>#NAME?</v>
      </c>
      <c r="AU13">
        <f t="shared" si="1836"/>
        <v>10</v>
      </c>
      <c r="AV13" t="e">
        <f t="shared" si="1829"/>
        <v>#NAME?</v>
      </c>
      <c r="AX13">
        <f t="shared" si="1837"/>
        <v>10</v>
      </c>
      <c r="AY13">
        <f t="shared" si="1830"/>
        <v>11.0451963490042</v>
      </c>
    </row>
    <row r="14">
      <c r="A14">
        <f t="shared" si="1831"/>
        <v>11</v>
      </c>
      <c r="B14" s="85">
        <v>7</v>
      </c>
      <c r="C14" s="87">
        <v>20.475000000000001</v>
      </c>
      <c r="D14">
        <f>10.122578080183-0.0001</f>
        <v>10.122478080183001</v>
      </c>
      <c r="F14">
        <f t="shared" si="1832"/>
        <v>11</v>
      </c>
      <c r="G14" t="e">
        <v>#NAME?</v>
      </c>
      <c r="H14" t="e">
        <v>#NAME?</v>
      </c>
      <c r="I14" t="e">
        <v>#NAME?</v>
      </c>
      <c r="J14" t="e">
        <f/>
        <v>#NAME?</v>
      </c>
      <c r="L14" s="14" t="s">
        <v>390</v>
      </c>
      <c r="M14" s="14">
        <f>M8-1</f>
        <v>-1</v>
      </c>
      <c r="N14" s="14" t="e">
        <f>DEVSQ(I4:I22)</f>
        <v>#NAME?</v>
      </c>
      <c r="O14" s="14"/>
      <c r="P14" s="14"/>
      <c r="Q14" s="14"/>
      <c r="R14" s="14"/>
      <c r="U14">
        <f t="shared" si="1833"/>
        <v>10</v>
      </c>
      <c r="V14" t="e">
        <f t="shared" si="1834"/>
        <v>#NAME?</v>
      </c>
      <c r="W14" t="e">
        <f t="shared" si="1835"/>
        <v>#NAME?</v>
      </c>
      <c r="Z14" t="s">
        <v>503</v>
      </c>
      <c r="AA14" s="10" t="e">
        <f>SQRT(AA7/AA17)</f>
        <v>#NAME?</v>
      </c>
      <c r="AC14">
        <f t="shared" ref="AC14:AC15" si="1839">AC13+1</f>
        <v>1</v>
      </c>
      <c r="AD14" t="e">
        <v>#NAME?</v>
      </c>
      <c r="AM14">
        <f t="shared" si="1823"/>
        <v>10</v>
      </c>
      <c r="AN14" t="e">
        <f t="shared" si="1824"/>
        <v>#NAME?</v>
      </c>
      <c r="AO14" t="e">
        <f t="shared" si="1825"/>
        <v>#NAME?</v>
      </c>
      <c r="AP14" t="e">
        <f t="shared" si="1826"/>
        <v>#NAME?</v>
      </c>
      <c r="AQ14" t="e">
        <f t="shared" si="1818"/>
        <v>#NAME?</v>
      </c>
      <c r="AR14" t="e">
        <f t="shared" si="1827"/>
        <v>#NAME?</v>
      </c>
      <c r="AS14" t="e">
        <f t="shared" si="1828"/>
        <v>#NAME?</v>
      </c>
      <c r="AU14">
        <f t="shared" si="1836"/>
        <v>11</v>
      </c>
      <c r="AV14" t="e">
        <f t="shared" si="1829"/>
        <v>#NAME?</v>
      </c>
      <c r="AX14">
        <f t="shared" si="1837"/>
        <v>11</v>
      </c>
      <c r="AY14">
        <f t="shared" si="1830"/>
        <v>10.122478080183001</v>
      </c>
    </row>
    <row r="15">
      <c r="A15">
        <f t="shared" si="1831"/>
        <v>12</v>
      </c>
      <c r="B15" s="85">
        <v>6.5</v>
      </c>
      <c r="C15" s="87">
        <v>21.370000000000001</v>
      </c>
      <c r="D15">
        <f>10.173602244452-0.2</f>
        <v>9.9736022444519996</v>
      </c>
      <c r="F15">
        <f t="shared" si="1832"/>
        <v>12</v>
      </c>
      <c r="G15" t="e">
        <v>#NAME?</v>
      </c>
      <c r="H15" t="e">
        <v>#NAME?</v>
      </c>
      <c r="I15" t="e">
        <v>#NAME?</v>
      </c>
      <c r="J15" t="e">
        <f/>
        <v>#NAME?</v>
      </c>
      <c r="U15">
        <f t="shared" si="1833"/>
        <v>11</v>
      </c>
      <c r="V15" t="e">
        <f t="shared" si="1834"/>
        <v>#NAME?</v>
      </c>
      <c r="W15" t="e">
        <f t="shared" si="1835"/>
        <v>#NAME?</v>
      </c>
      <c r="Z15" t="s">
        <v>504</v>
      </c>
      <c r="AA15" s="10" t="e">
        <f>AVERAGE(V5:V23)</f>
        <v>#NAME?</v>
      </c>
      <c r="AC15" s="14">
        <f t="shared" si="1839"/>
        <v>2</v>
      </c>
      <c r="AD15" s="14" t="e">
        <v>#NAME?</v>
      </c>
      <c r="AM15">
        <f t="shared" si="1823"/>
        <v>11</v>
      </c>
      <c r="AN15" t="e">
        <f t="shared" si="1824"/>
        <v>#NAME?</v>
      </c>
      <c r="AO15" t="e">
        <f t="shared" si="1825"/>
        <v>#NAME?</v>
      </c>
      <c r="AP15" t="e">
        <f t="shared" si="1826"/>
        <v>#NAME?</v>
      </c>
      <c r="AQ15" t="e">
        <f t="shared" si="1818"/>
        <v>#NAME?</v>
      </c>
      <c r="AR15" t="e">
        <f t="shared" si="1827"/>
        <v>#NAME?</v>
      </c>
      <c r="AS15" t="e">
        <f t="shared" si="1828"/>
        <v>#NAME?</v>
      </c>
      <c r="AU15">
        <f t="shared" si="1836"/>
        <v>12</v>
      </c>
      <c r="AV15" t="e">
        <f t="shared" si="1829"/>
        <v>#NAME?</v>
      </c>
      <c r="AX15">
        <f t="shared" si="1837"/>
        <v>12</v>
      </c>
      <c r="AY15">
        <f t="shared" si="1830"/>
        <v>9.9736022444519996</v>
      </c>
    </row>
    <row r="16">
      <c r="A16">
        <f t="shared" si="1831"/>
        <v>13</v>
      </c>
      <c r="B16" s="85">
        <v>8.5</v>
      </c>
      <c r="C16" s="87">
        <v>22.789999999999999</v>
      </c>
      <c r="D16">
        <f>10.8213098008928-0.2</f>
        <v>10.621309800892799</v>
      </c>
      <c r="F16">
        <f t="shared" si="1832"/>
        <v>13</v>
      </c>
      <c r="G16" t="e">
        <v>#NAME?</v>
      </c>
      <c r="H16" t="e">
        <v>#NAME?</v>
      </c>
      <c r="I16" t="e">
        <v>#NAME?</v>
      </c>
      <c r="J16" t="e">
        <f/>
        <v>#NAME?</v>
      </c>
      <c r="L16" s="24"/>
      <c r="M16" s="24" t="s">
        <v>391</v>
      </c>
      <c r="N16" s="24" t="s">
        <v>392</v>
      </c>
      <c r="O16" s="24" t="s">
        <v>393</v>
      </c>
      <c r="P16" s="24" t="s">
        <v>189</v>
      </c>
      <c r="Q16" s="24" t="s">
        <v>215</v>
      </c>
      <c r="R16" s="24" t="s">
        <v>216</v>
      </c>
      <c r="S16" s="24" t="s">
        <v>397</v>
      </c>
      <c r="U16">
        <f t="shared" si="1833"/>
        <v>12</v>
      </c>
      <c r="V16" t="e">
        <f t="shared" si="1834"/>
        <v>#NAME?</v>
      </c>
      <c r="W16" t="e">
        <f t="shared" si="1835"/>
        <v>#NAME?</v>
      </c>
      <c r="Z16" t="s">
        <v>505</v>
      </c>
      <c r="AA16" s="10" t="e">
        <f>_xlfn.STDEV.S(V5:V23)</f>
        <v>#NAME?</v>
      </c>
      <c r="AM16">
        <f t="shared" si="1823"/>
        <v>12</v>
      </c>
      <c r="AN16" t="e">
        <f t="shared" si="1824"/>
        <v>#NAME?</v>
      </c>
      <c r="AO16" t="e">
        <f t="shared" si="1825"/>
        <v>#NAME?</v>
      </c>
      <c r="AP16" t="e">
        <f t="shared" si="1826"/>
        <v>#NAME?</v>
      </c>
      <c r="AQ16" t="e">
        <f t="shared" si="1818"/>
        <v>#NAME?</v>
      </c>
      <c r="AR16" t="e">
        <f t="shared" si="1827"/>
        <v>#NAME?</v>
      </c>
      <c r="AS16" t="e">
        <f t="shared" si="1828"/>
        <v>#NAME?</v>
      </c>
      <c r="AU16">
        <f t="shared" si="1836"/>
        <v>13</v>
      </c>
      <c r="AV16" t="e">
        <f t="shared" si="1829"/>
        <v>#NAME?</v>
      </c>
      <c r="AX16">
        <f t="shared" si="1837"/>
        <v>13</v>
      </c>
      <c r="AY16">
        <f t="shared" si="1830"/>
        <v>10.621309800892799</v>
      </c>
    </row>
    <row r="17">
      <c r="A17">
        <f t="shared" si="1831"/>
        <v>14</v>
      </c>
      <c r="B17" s="85">
        <v>9.5</v>
      </c>
      <c r="C17" s="87">
        <v>23.475000000000001</v>
      </c>
      <c r="D17">
        <v>10.084063249573955</v>
      </c>
      <c r="F17">
        <f t="shared" si="1832"/>
        <v>14</v>
      </c>
      <c r="G17" t="e">
        <v>#NAME?</v>
      </c>
      <c r="H17" t="e">
        <v>#NAME?</v>
      </c>
      <c r="I17" t="e">
        <v>#NAME?</v>
      </c>
      <c r="J17" t="e">
        <f/>
        <v>#NAME?</v>
      </c>
      <c r="L17" t="s">
        <v>396</v>
      </c>
      <c r="M17" t="e">
        <v>#NAME?</v>
      </c>
      <c r="N17" t="e">
        <v>#NAME?</v>
      </c>
      <c r="O17" t="e">
        <f t="shared" ref="O17:O19" si="1840">M17/N17</f>
        <v>#NAME?</v>
      </c>
      <c r="P17" t="e">
        <f t="shared" ref="P17:P19" si="1841">_xlfn.T.DIST.2T(ABS(O17),$M$13)</f>
        <v>#NAME?</v>
      </c>
      <c r="Q17" t="e">
        <f t="shared" ref="Q17:Q19" si="1842">M17-_xlfn.T.INV.2T(Q$10,$M$13)*N17</f>
        <v>#NAME?</v>
      </c>
      <c r="R17" t="e">
        <f t="shared" ref="R17:R19" si="1843">M17+_xlfn.T.INV.2T(Q$10,$M$13)*N17</f>
        <v>#NAME?</v>
      </c>
      <c r="U17">
        <f t="shared" si="1833"/>
        <v>13</v>
      </c>
      <c r="V17" t="e">
        <f t="shared" si="1834"/>
        <v>#NAME?</v>
      </c>
      <c r="W17" t="e">
        <f t="shared" si="1835"/>
        <v>#NAME?</v>
      </c>
      <c r="Z17" t="s">
        <v>506</v>
      </c>
      <c r="AA17" s="13">
        <f>COUNT(V5:V23)</f>
        <v>0</v>
      </c>
      <c r="AM17">
        <f t="shared" si="1823"/>
        <v>13</v>
      </c>
      <c r="AN17" t="e">
        <f t="shared" si="1824"/>
        <v>#NAME?</v>
      </c>
      <c r="AO17" t="e">
        <f t="shared" si="1825"/>
        <v>#NAME?</v>
      </c>
      <c r="AP17" t="e">
        <f t="shared" si="1826"/>
        <v>#NAME?</v>
      </c>
      <c r="AQ17" t="e">
        <f t="shared" si="1818"/>
        <v>#NAME?</v>
      </c>
      <c r="AR17" t="e">
        <f t="shared" si="1827"/>
        <v>#NAME?</v>
      </c>
      <c r="AS17" t="e">
        <f t="shared" si="1828"/>
        <v>#NAME?</v>
      </c>
      <c r="AU17">
        <f t="shared" si="1836"/>
        <v>14</v>
      </c>
      <c r="AV17" t="e">
        <f t="shared" si="1829"/>
        <v>#NAME?</v>
      </c>
      <c r="AX17">
        <f t="shared" si="1837"/>
        <v>14</v>
      </c>
      <c r="AY17">
        <f t="shared" si="1830"/>
        <v>10.084063249573999</v>
      </c>
    </row>
    <row r="18">
      <c r="A18">
        <f t="shared" si="1831"/>
        <v>15</v>
      </c>
      <c r="B18" s="85">
        <v>15</v>
      </c>
      <c r="C18" s="87">
        <v>23.844999999999999</v>
      </c>
      <c r="D18">
        <v>10.346054055555475</v>
      </c>
      <c r="F18">
        <f t="shared" si="1832"/>
        <v>15</v>
      </c>
      <c r="G18" t="e">
        <v>#NAME?</v>
      </c>
      <c r="H18" t="e">
        <v>#NAME?</v>
      </c>
      <c r="I18" t="e">
        <v>#NAME?</v>
      </c>
      <c r="J18" t="e">
        <f/>
        <v>#NAME?</v>
      </c>
      <c r="L18" t="str">
        <f t="array" ref="L18:L19">TRANSPOSE(G3:H3)</f>
        <v>X1</v>
      </c>
      <c r="M18" t="e">
        <v>#NAME?</v>
      </c>
      <c r="N18" t="e">
        <v>#NAME?</v>
      </c>
      <c r="O18" t="e">
        <f t="shared" si="1840"/>
        <v>#NAME?</v>
      </c>
      <c r="P18" t="e">
        <f t="shared" si="1841"/>
        <v>#NAME?</v>
      </c>
      <c r="Q18" t="e">
        <f t="shared" si="1842"/>
        <v>#NAME?</v>
      </c>
      <c r="R18" t="e">
        <f t="shared" si="1843"/>
        <v>#NAME?</v>
      </c>
      <c r="S18" t="e">
        <v>#NAME?</v>
      </c>
      <c r="U18">
        <f t="shared" si="1833"/>
        <v>14</v>
      </c>
      <c r="V18" t="e">
        <f t="shared" si="1834"/>
        <v>#NAME?</v>
      </c>
      <c r="W18" t="e">
        <f t="shared" si="1835"/>
        <v>#NAME?</v>
      </c>
      <c r="AM18">
        <f t="shared" si="1823"/>
        <v>14</v>
      </c>
      <c r="AN18" t="e">
        <f t="shared" si="1824"/>
        <v>#NAME?</v>
      </c>
      <c r="AO18" t="e">
        <f t="shared" si="1825"/>
        <v>#NAME?</v>
      </c>
      <c r="AP18" t="e">
        <f t="shared" si="1826"/>
        <v>#NAME?</v>
      </c>
      <c r="AQ18" t="e">
        <f t="shared" si="1818"/>
        <v>#NAME?</v>
      </c>
      <c r="AR18" t="e">
        <f t="shared" si="1827"/>
        <v>#NAME?</v>
      </c>
      <c r="AS18" t="e">
        <f t="shared" si="1828"/>
        <v>#NAME?</v>
      </c>
      <c r="AU18">
        <f t="shared" si="1836"/>
        <v>15</v>
      </c>
      <c r="AV18" t="e">
        <f t="shared" si="1829"/>
        <v>#NAME?</v>
      </c>
      <c r="AX18">
        <f t="shared" si="1837"/>
        <v>15</v>
      </c>
      <c r="AY18">
        <f t="shared" si="1830"/>
        <v>10.3460540555555</v>
      </c>
    </row>
    <row r="19">
      <c r="A19">
        <f t="shared" si="1831"/>
        <v>16</v>
      </c>
      <c r="B19" s="85">
        <v>14</v>
      </c>
      <c r="C19" s="87">
        <v>23.120000000000001</v>
      </c>
      <c r="D19">
        <f>9.69220293930259-1.8</f>
        <v>7.8922029393025896</v>
      </c>
      <c r="F19">
        <f t="shared" si="1832"/>
        <v>16</v>
      </c>
      <c r="G19" t="e">
        <v>#NAME?</v>
      </c>
      <c r="H19" t="e">
        <v>#NAME?</v>
      </c>
      <c r="I19" t="e">
        <v>#NAME?</v>
      </c>
      <c r="J19" t="e">
        <f/>
        <v>#NAME?</v>
      </c>
      <c r="L19" s="14" t="str">
        <f/>
        <v>X2</v>
      </c>
      <c r="M19" s="14" t="e">
        <v>#NAME?</v>
      </c>
      <c r="N19" s="14" t="e">
        <v>#NAME?</v>
      </c>
      <c r="O19" s="14" t="e">
        <f t="shared" si="1840"/>
        <v>#NAME?</v>
      </c>
      <c r="P19" s="14" t="e">
        <f t="shared" si="1841"/>
        <v>#NAME?</v>
      </c>
      <c r="Q19" s="14" t="e">
        <f t="shared" si="1842"/>
        <v>#NAME?</v>
      </c>
      <c r="R19" s="14" t="e">
        <f t="shared" si="1843"/>
        <v>#NAME?</v>
      </c>
      <c r="S19" s="14" t="e">
        <v>#NAME?</v>
      </c>
      <c r="U19">
        <f t="shared" si="1833"/>
        <v>15</v>
      </c>
      <c r="V19" t="e">
        <f t="shared" si="1834"/>
        <v>#NAME?</v>
      </c>
      <c r="W19" t="e">
        <f t="shared" si="1835"/>
        <v>#NAME?</v>
      </c>
      <c r="Z19" t="s">
        <v>507</v>
      </c>
      <c r="AA19" s="7" t="e">
        <f>-(AA22-2*(AA9+AA10))/2</f>
        <v>#NAME?</v>
      </c>
      <c r="AM19">
        <f t="shared" si="1823"/>
        <v>15</v>
      </c>
      <c r="AN19" t="e">
        <f t="shared" si="1824"/>
        <v>#NAME?</v>
      </c>
      <c r="AO19" t="e">
        <f t="shared" si="1825"/>
        <v>#NAME?</v>
      </c>
      <c r="AP19" t="e">
        <f t="shared" si="1826"/>
        <v>#NAME?</v>
      </c>
      <c r="AQ19" t="e">
        <f t="shared" si="1818"/>
        <v>#NAME?</v>
      </c>
      <c r="AR19" t="e">
        <f t="shared" si="1827"/>
        <v>#NAME?</v>
      </c>
      <c r="AS19" t="e">
        <f t="shared" si="1828"/>
        <v>#NAME?</v>
      </c>
      <c r="AU19">
        <f t="shared" si="1836"/>
        <v>16</v>
      </c>
      <c r="AV19" t="e">
        <f t="shared" si="1829"/>
        <v>#NAME?</v>
      </c>
      <c r="AX19">
        <f t="shared" si="1837"/>
        <v>16</v>
      </c>
      <c r="AY19">
        <f t="shared" si="1830"/>
        <v>7.8922029393025896</v>
      </c>
    </row>
    <row r="20">
      <c r="A20">
        <f t="shared" si="1831"/>
        <v>17</v>
      </c>
      <c r="B20" s="85">
        <v>12</v>
      </c>
      <c r="C20" s="87">
        <v>25.32</v>
      </c>
      <c r="D20">
        <v>11.205574770625869</v>
      </c>
      <c r="F20">
        <f t="shared" si="1832"/>
        <v>17</v>
      </c>
      <c r="G20" t="e">
        <v>#NAME?</v>
      </c>
      <c r="H20" t="e">
        <v>#NAME?</v>
      </c>
      <c r="I20" t="e">
        <v>#NAME?</v>
      </c>
      <c r="J20" t="e">
        <f/>
        <v>#NAME?</v>
      </c>
      <c r="U20">
        <f t="shared" si="1833"/>
        <v>16</v>
      </c>
      <c r="V20" t="e">
        <f t="shared" si="1834"/>
        <v>#NAME?</v>
      </c>
      <c r="W20" t="e">
        <f t="shared" si="1835"/>
        <v>#NAME?</v>
      </c>
      <c r="Z20" t="s">
        <v>374</v>
      </c>
      <c r="AA20" s="10" t="e">
        <f>AA17*LN(AA7/AA17)+2*(AA9+AA10)</f>
        <v>#NAME?</v>
      </c>
      <c r="AM20">
        <f t="shared" si="1823"/>
        <v>16</v>
      </c>
      <c r="AN20" t="e">
        <f t="shared" si="1824"/>
        <v>#NAME?</v>
      </c>
      <c r="AO20" t="e">
        <f t="shared" si="1825"/>
        <v>#NAME?</v>
      </c>
      <c r="AP20" t="e">
        <f t="shared" si="1826"/>
        <v>#NAME?</v>
      </c>
      <c r="AQ20" t="e">
        <f t="shared" si="1818"/>
        <v>#NAME?</v>
      </c>
      <c r="AR20" t="e">
        <f t="shared" si="1827"/>
        <v>#NAME?</v>
      </c>
      <c r="AS20" t="e">
        <f t="shared" si="1828"/>
        <v>#NAME?</v>
      </c>
      <c r="AU20">
        <f t="shared" si="1836"/>
        <v>17</v>
      </c>
      <c r="AV20" t="e">
        <f t="shared" si="1829"/>
        <v>#NAME?</v>
      </c>
      <c r="AX20">
        <f t="shared" si="1837"/>
        <v>17</v>
      </c>
      <c r="AY20">
        <f t="shared" si="1830"/>
        <v>11.205574770625899</v>
      </c>
    </row>
    <row r="21">
      <c r="A21">
        <f t="shared" si="1831"/>
        <v>18</v>
      </c>
      <c r="B21" s="85">
        <v>13.5</v>
      </c>
      <c r="C21" s="87">
        <v>27.895</v>
      </c>
      <c r="D21">
        <f>12.6521164165148-0.2</f>
        <v>12.4521164165148</v>
      </c>
      <c r="F21">
        <f t="shared" si="1832"/>
        <v>18</v>
      </c>
      <c r="G21" t="e">
        <v>#NAME?</v>
      </c>
      <c r="H21" t="e">
        <v>#NAME?</v>
      </c>
      <c r="I21" t="e">
        <v>#NAME?</v>
      </c>
      <c r="J21" t="e">
        <f/>
        <v>#NAME?</v>
      </c>
      <c r="U21">
        <f t="shared" si="1833"/>
        <v>17</v>
      </c>
      <c r="V21" t="e">
        <f t="shared" si="1834"/>
        <v>#NAME?</v>
      </c>
      <c r="W21" t="e">
        <f t="shared" si="1835"/>
        <v>#NAME?</v>
      </c>
      <c r="Z21" t="s">
        <v>508</v>
      </c>
      <c r="AA21" s="10" t="e">
        <f>AA17*LN(AA7/AA17)+LN(AA17)*(AA9+AA10)</f>
        <v>#NAME?</v>
      </c>
      <c r="AM21">
        <f t="shared" si="1823"/>
        <v>17</v>
      </c>
      <c r="AN21" t="e">
        <f t="shared" si="1824"/>
        <v>#NAME?</v>
      </c>
      <c r="AO21" t="e">
        <f t="shared" si="1825"/>
        <v>#NAME?</v>
      </c>
      <c r="AP21" t="e">
        <f t="shared" si="1826"/>
        <v>#NAME?</v>
      </c>
      <c r="AQ21" t="e">
        <f t="shared" si="1818"/>
        <v>#NAME?</v>
      </c>
      <c r="AR21" t="e">
        <f t="shared" si="1827"/>
        <v>#NAME?</v>
      </c>
      <c r="AS21" t="e">
        <f t="shared" si="1828"/>
        <v>#NAME?</v>
      </c>
      <c r="AU21">
        <f t="shared" si="1836"/>
        <v>18</v>
      </c>
      <c r="AV21" t="e">
        <f t="shared" si="1829"/>
        <v>#NAME?</v>
      </c>
      <c r="AX21">
        <f t="shared" si="1837"/>
        <v>18</v>
      </c>
      <c r="AY21">
        <f t="shared" si="1830"/>
        <v>12.4521164165148</v>
      </c>
    </row>
    <row r="22">
      <c r="A22">
        <f t="shared" si="1831"/>
        <v>19</v>
      </c>
      <c r="B22" s="85">
        <v>16.5</v>
      </c>
      <c r="C22" s="87">
        <v>28.265000000000001</v>
      </c>
      <c r="D22">
        <f>13.4063291686354+0.1</f>
        <v>13.5063291686354</v>
      </c>
      <c r="F22">
        <f t="shared" si="1832"/>
        <v>19</v>
      </c>
      <c r="G22" s="14" t="e">
        <v>#NAME?</v>
      </c>
      <c r="H22" s="14" t="e">
        <v>#NAME?</v>
      </c>
      <c r="I22" s="14" t="e">
        <v>#NAME?</v>
      </c>
      <c r="J22" s="14" t="e">
        <f/>
        <v>#NAME?</v>
      </c>
      <c r="U22">
        <f t="shared" si="1833"/>
        <v>18</v>
      </c>
      <c r="V22" t="e">
        <f t="shared" si="1834"/>
        <v>#NAME?</v>
      </c>
      <c r="W22" t="e">
        <f t="shared" si="1835"/>
        <v>#NAME?</v>
      </c>
      <c r="Z22" t="s">
        <v>509</v>
      </c>
      <c r="AA22" s="10" t="e">
        <f>AA17*(1+LN(2*PI()))+AA20</f>
        <v>#NAME?</v>
      </c>
      <c r="AM22">
        <f t="shared" si="1823"/>
        <v>18</v>
      </c>
      <c r="AN22" t="e">
        <f t="shared" si="1824"/>
        <v>#NAME?</v>
      </c>
      <c r="AO22" t="e">
        <f t="shared" si="1825"/>
        <v>#NAME?</v>
      </c>
      <c r="AP22" t="e">
        <f t="shared" si="1826"/>
        <v>#NAME?</v>
      </c>
      <c r="AQ22" t="e">
        <f t="shared" si="1818"/>
        <v>#NAME?</v>
      </c>
      <c r="AR22" t="e">
        <f t="shared" si="1827"/>
        <v>#NAME?</v>
      </c>
      <c r="AS22" t="e">
        <f t="shared" si="1828"/>
        <v>#NAME?</v>
      </c>
      <c r="AU22" s="14">
        <f t="shared" si="1836"/>
        <v>19</v>
      </c>
      <c r="AV22" s="14" t="e">
        <f t="shared" si="1829"/>
        <v>#NAME?</v>
      </c>
      <c r="AX22">
        <f t="shared" si="1837"/>
        <v>19</v>
      </c>
      <c r="AY22">
        <f t="shared" si="1830"/>
        <v>13.5063291686354</v>
      </c>
    </row>
    <row r="23">
      <c r="A23">
        <f t="shared" si="1831"/>
        <v>20</v>
      </c>
      <c r="B23" s="88">
        <v>10</v>
      </c>
      <c r="C23" s="89">
        <v>29.684999999999999</v>
      </c>
      <c r="D23" s="14">
        <f>12.231217930184-0.5</f>
        <v>11.731217930184</v>
      </c>
      <c r="G23" s="42" t="e">
        <v>#NAME?</v>
      </c>
      <c r="H23" s="42" t="e">
        <v>#NAME?</v>
      </c>
      <c r="I23" s="42" t="e">
        <f t="array" ref="I23:I25">TREND(I4:I22,G4:H22,G23:H25)+J23:J25</f>
        <v>#NAME?</v>
      </c>
      <c r="J23" s="42" t="e">
        <f t="shared" ref="J23:J25" si="1844">AP24</f>
        <v>#NAME?</v>
      </c>
      <c r="U23" s="14">
        <f t="shared" si="1833"/>
        <v>19</v>
      </c>
      <c r="V23" s="14" t="e">
        <f t="shared" si="1834"/>
        <v>#NAME?</v>
      </c>
      <c r="W23" s="14" t="e">
        <f t="shared" si="1835"/>
        <v>#NAME?</v>
      </c>
      <c r="Z23" t="s">
        <v>510</v>
      </c>
      <c r="AA23" s="13" t="e">
        <f>AA17*(1+LN(2*PI()))+AA21</f>
        <v>#NAME?</v>
      </c>
      <c r="AM23">
        <f t="shared" si="1823"/>
        <v>19</v>
      </c>
      <c r="AN23" t="e">
        <f t="shared" si="1824"/>
        <v>#NAME?</v>
      </c>
      <c r="AO23" t="e">
        <f t="shared" si="1825"/>
        <v>#NAME?</v>
      </c>
      <c r="AP23" t="e">
        <f t="shared" si="1826"/>
        <v>#NAME?</v>
      </c>
      <c r="AQ23" t="e">
        <f t="shared" si="1818"/>
        <v>#NAME?</v>
      </c>
      <c r="AR23" t="e">
        <f t="shared" si="1827"/>
        <v>#NAME?</v>
      </c>
      <c r="AS23" t="e">
        <f t="shared" si="1828"/>
        <v>#NAME?</v>
      </c>
      <c r="AU23">
        <f t="shared" si="1836"/>
        <v>20</v>
      </c>
      <c r="AV23" t="e">
        <f t="shared" ref="AV23:AV25" si="1845">AP24</f>
        <v>#NAME?</v>
      </c>
      <c r="AX23" s="14">
        <f t="shared" si="1837"/>
        <v>20</v>
      </c>
      <c r="AY23" s="14">
        <f t="shared" si="1830"/>
        <v>11.731217930184</v>
      </c>
    </row>
    <row r="24">
      <c r="A24">
        <v>21</v>
      </c>
      <c r="B24" s="85">
        <v>12</v>
      </c>
      <c r="C24" s="87">
        <v>30</v>
      </c>
      <c r="G24" t="e">
        <v>#NAME?</v>
      </c>
      <c r="H24" t="e">
        <v>#NAME?</v>
      </c>
      <c r="I24" t="e">
        <f/>
        <v>#NAME?</v>
      </c>
      <c r="J24">
        <f t="shared" si="1844"/>
        <v>0</v>
      </c>
      <c r="AM24">
        <f t="shared" ref="AM24:AM26" si="1846">AM23+1</f>
        <v>20</v>
      </c>
      <c r="AP24" t="e">
        <f>SUMPRODUCT(AO23,AA4)</f>
        <v>#NAME?</v>
      </c>
      <c r="AQ24" t="e">
        <f t="shared" ref="AQ24:AQ26" si="1847">AA$14*SQRT(SUMSQ(AD$13:AD13))</f>
        <v>#NAME?</v>
      </c>
      <c r="AR24" t="e">
        <f t="shared" si="1827"/>
        <v>#NAME?</v>
      </c>
      <c r="AS24" t="e">
        <f t="shared" si="1828"/>
        <v>#NAME?</v>
      </c>
      <c r="AU24">
        <f t="shared" si="1836"/>
        <v>21</v>
      </c>
      <c r="AV24">
        <f t="shared" si="1845"/>
        <v>0</v>
      </c>
      <c r="AX24" s="42">
        <f t="shared" si="1837"/>
        <v>21</v>
      </c>
      <c r="AY24" s="42" t="e">
        <v>#NAME?</v>
      </c>
    </row>
    <row r="25">
      <c r="A25">
        <v>22</v>
      </c>
      <c r="B25" s="85">
        <v>14</v>
      </c>
      <c r="C25" s="87">
        <v>30.5</v>
      </c>
      <c r="G25" s="14" t="e">
        <v>#NAME?</v>
      </c>
      <c r="H25" s="14" t="e">
        <v>#NAME?</v>
      </c>
      <c r="I25" s="14" t="e">
        <f/>
        <v>#NAME?</v>
      </c>
      <c r="J25" s="14">
        <f t="shared" si="1844"/>
        <v>0</v>
      </c>
      <c r="AM25">
        <f t="shared" si="1846"/>
        <v>21</v>
      </c>
      <c r="AP25">
        <v>0</v>
      </c>
      <c r="AQ25" t="e">
        <f t="shared" si="1847"/>
        <v>#NAME?</v>
      </c>
      <c r="AR25" t="e">
        <f t="shared" si="1827"/>
        <v>#NAME?</v>
      </c>
      <c r="AS25" t="e">
        <f t="shared" si="1828"/>
        <v>#NAME?</v>
      </c>
      <c r="AU25" s="14">
        <f t="shared" si="1836"/>
        <v>22</v>
      </c>
      <c r="AV25" s="14">
        <f t="shared" si="1845"/>
        <v>0</v>
      </c>
      <c r="AX25">
        <f t="shared" si="1837"/>
        <v>22</v>
      </c>
      <c r="AY25" t="e">
        <v>#NAME?</v>
      </c>
    </row>
    <row r="26">
      <c r="A26">
        <v>23</v>
      </c>
      <c r="B26" s="88">
        <v>15</v>
      </c>
      <c r="C26" s="89">
        <v>31.5</v>
      </c>
      <c r="D26" s="14"/>
      <c r="AM26" s="14">
        <f t="shared" si="1846"/>
        <v>22</v>
      </c>
      <c r="AN26" s="14"/>
      <c r="AO26" s="14"/>
      <c r="AP26" s="14">
        <v>0</v>
      </c>
      <c r="AQ26" s="14" t="e">
        <f t="shared" si="1847"/>
        <v>#NAME?</v>
      </c>
      <c r="AR26" s="14" t="e">
        <f t="shared" si="1827"/>
        <v>#NAME?</v>
      </c>
      <c r="AS26" s="14" t="e">
        <f t="shared" si="1828"/>
        <v>#NAME?</v>
      </c>
      <c r="AX26" s="14">
        <f t="shared" si="1837"/>
        <v>23</v>
      </c>
      <c r="AY26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10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3" width="6.1785709999999998"/>
    <col customWidth="1" min="4" max="4" style="85" width="6.1785709999999998"/>
    <col customWidth="1" min="5" max="5" style="100" width="9.3660709999999998"/>
    <col customWidth="1" min="11" max="11" width="17.178571000000002"/>
    <col customWidth="1" min="19" max="19" width="15.723214"/>
  </cols>
  <sheetData>
    <row r="1">
      <c r="A1" s="32" t="s">
        <v>664</v>
      </c>
      <c r="B1" s="32" t="s">
        <v>616</v>
      </c>
      <c r="C1" s="32" t="s">
        <v>528</v>
      </c>
      <c r="D1" s="101" t="s">
        <v>665</v>
      </c>
      <c r="E1" s="102" t="s">
        <v>666</v>
      </c>
      <c r="G1" s="14" t="e">
        <v>#NAME?</v>
      </c>
      <c r="H1" s="14" t="e">
        <v>#NAME?</v>
      </c>
      <c r="I1" s="14" t="e">
        <v>#NAME?</v>
      </c>
      <c r="K1" t="s">
        <v>369</v>
      </c>
      <c r="S1" t="s">
        <v>369</v>
      </c>
    </row>
    <row r="2">
      <c r="A2">
        <v>1</v>
      </c>
      <c r="B2">
        <v>92</v>
      </c>
      <c r="C2">
        <v>85.09999999999998</v>
      </c>
      <c r="D2" s="85">
        <v>7.7999999999999998</v>
      </c>
      <c r="E2" s="100">
        <v>75.426479999999998</v>
      </c>
      <c r="G2" t="e">
        <v>#NAME?</v>
      </c>
      <c r="H2" t="e">
        <v>#NAME?</v>
      </c>
      <c r="I2" t="e">
        <v>#NAME?</v>
      </c>
    </row>
    <row r="3">
      <c r="A3">
        <v>1</v>
      </c>
      <c r="B3">
        <v>98</v>
      </c>
      <c r="C3">
        <v>85.09999999999998</v>
      </c>
      <c r="D3" s="85">
        <v>3.1000000000000001</v>
      </c>
      <c r="E3" s="100">
        <v>70.01455</v>
      </c>
      <c r="G3" t="e">
        <v>#NAME?</v>
      </c>
      <c r="H3" t="e">
        <v>#NAME?</v>
      </c>
      <c r="I3" t="e">
        <v>#NAME?</v>
      </c>
      <c r="K3" s="49" t="s">
        <v>371</v>
      </c>
      <c r="L3" s="49"/>
      <c r="N3" s="49"/>
      <c r="O3" s="49"/>
      <c r="S3" s="49" t="s">
        <v>371</v>
      </c>
      <c r="T3" s="49"/>
      <c r="V3" s="49"/>
      <c r="W3" s="49"/>
    </row>
    <row r="4">
      <c r="A4">
        <v>2</v>
      </c>
      <c r="B4">
        <v>92</v>
      </c>
      <c r="C4">
        <v>42.600000000000001</v>
      </c>
      <c r="D4" s="85">
        <v>7.5999999999999988</v>
      </c>
      <c r="E4" s="100">
        <v>93.616690000000006</v>
      </c>
      <c r="G4" t="e">
        <v>#NAME?</v>
      </c>
      <c r="H4" t="e">
        <v>#NAME?</v>
      </c>
      <c r="I4" t="e">
        <v>#NAME?</v>
      </c>
      <c r="K4" t="s">
        <v>373</v>
      </c>
      <c r="L4" t="e">
        <f>SQRT(L5)</f>
        <v>#NAME?</v>
      </c>
      <c r="N4" t="s">
        <v>374</v>
      </c>
      <c r="O4" t="e">
        <f>L8*LN(M13/L8)+2*(L12+1)</f>
        <v>#NAME?</v>
      </c>
      <c r="S4" t="s">
        <v>373</v>
      </c>
      <c r="T4" t="e">
        <f>SQRT(T5)</f>
        <v>#NAME?</v>
      </c>
      <c r="V4" t="s">
        <v>374</v>
      </c>
      <c r="W4" t="e">
        <f>T8*LN(U13/T8)+2*(T12+1)</f>
        <v>#NAME?</v>
      </c>
    </row>
    <row r="5">
      <c r="A5">
        <v>2</v>
      </c>
      <c r="B5">
        <v>98</v>
      </c>
      <c r="C5">
        <v>42.600000000000001</v>
      </c>
      <c r="D5" s="85">
        <v>5.5</v>
      </c>
      <c r="E5" s="100">
        <v>90.348960000000005</v>
      </c>
      <c r="G5" t="e">
        <v>#NAME?</v>
      </c>
      <c r="H5" t="e">
        <v>#NAME?</v>
      </c>
      <c r="I5" t="e">
        <v>#NAME?</v>
      </c>
      <c r="K5" t="s">
        <v>375</v>
      </c>
      <c r="L5" t="e">
        <f>M12/M14</f>
        <v>#NAME?</v>
      </c>
      <c r="N5" t="s">
        <v>376</v>
      </c>
      <c r="O5" t="e">
        <f>O4+2*(L12+2)*(L12+3)/(L8-L12-3)</f>
        <v>#NAME?</v>
      </c>
      <c r="S5" t="s">
        <v>375</v>
      </c>
      <c r="T5" t="e">
        <f>U12/U14</f>
        <v>#NAME?</v>
      </c>
      <c r="V5" t="s">
        <v>376</v>
      </c>
      <c r="W5" t="e">
        <f>W4+2*(T12+2)*(T12+3)/(T8-T12-3)</f>
        <v>#NAME?</v>
      </c>
    </row>
    <row r="6">
      <c r="A6">
        <v>3</v>
      </c>
      <c r="B6">
        <v>92</v>
      </c>
      <c r="C6">
        <v>134.5</v>
      </c>
      <c r="D6" s="85">
        <v>8.3000000000000007</v>
      </c>
      <c r="E6" s="100">
        <v>85.180890000000005</v>
      </c>
      <c r="G6" t="e">
        <v>#NAME?</v>
      </c>
      <c r="H6" t="e">
        <v>#NAME?</v>
      </c>
      <c r="I6" t="e">
        <v>#NAME?</v>
      </c>
      <c r="K6" t="s">
        <v>378</v>
      </c>
      <c r="L6" t="e">
        <f>1-(1-L5)*(L8-1)/(L8-L12-1)</f>
        <v>#NAME?</v>
      </c>
      <c r="N6" s="14" t="s">
        <v>395</v>
      </c>
      <c r="O6" s="14" t="e">
        <f>L8*LN(M13/L8)+(L12+1)*LN(L8)</f>
        <v>#NAME?</v>
      </c>
      <c r="S6" t="s">
        <v>378</v>
      </c>
      <c r="T6" t="e">
        <f>1-(1-T5)*(T8-1)/(T8-T12-1)</f>
        <v>#NAME?</v>
      </c>
      <c r="V6" s="14" t="s">
        <v>395</v>
      </c>
      <c r="W6" s="14" t="e">
        <f>T8*LN(U13/T8)+(T12+1)*LN(T8)</f>
        <v>#NAME?</v>
      </c>
    </row>
    <row r="7">
      <c r="A7">
        <v>3</v>
      </c>
      <c r="B7">
        <v>98</v>
      </c>
      <c r="C7">
        <v>134.5</v>
      </c>
      <c r="D7" s="85">
        <v>7.7000000000000002</v>
      </c>
      <c r="E7" s="100">
        <v>76.950699999999983</v>
      </c>
      <c r="G7" t="e">
        <v>#NAME?</v>
      </c>
      <c r="H7" t="e">
        <v>#NAME?</v>
      </c>
      <c r="I7" t="e">
        <v>#NAME?</v>
      </c>
      <c r="K7" t="s">
        <v>381</v>
      </c>
      <c r="L7" t="e">
        <f>SQRT(N13)</f>
        <v>#NAME?</v>
      </c>
      <c r="S7" t="s">
        <v>381</v>
      </c>
      <c r="T7" t="e">
        <f>SQRT(V13)</f>
        <v>#NAME?</v>
      </c>
    </row>
    <row r="8">
      <c r="A8">
        <v>4</v>
      </c>
      <c r="B8">
        <v>92</v>
      </c>
      <c r="C8">
        <v>168.19999999999996</v>
      </c>
      <c r="D8" s="85">
        <v>11.6</v>
      </c>
      <c r="E8" s="100">
        <v>89.43107999999998</v>
      </c>
      <c r="G8" t="e">
        <v>#NAME?</v>
      </c>
      <c r="H8" t="e">
        <v>#NAME?</v>
      </c>
      <c r="I8" t="e">
        <v>#NAME?</v>
      </c>
      <c r="K8" s="14" t="s">
        <v>383</v>
      </c>
      <c r="L8" s="14">
        <f>COUNT(I2:I9)</f>
        <v>0</v>
      </c>
      <c r="S8" s="14" t="s">
        <v>383</v>
      </c>
      <c r="T8" s="14">
        <f>COUNT(E2:E17)</f>
        <v>16</v>
      </c>
    </row>
    <row r="9">
      <c r="A9">
        <v>4</v>
      </c>
      <c r="B9">
        <v>98</v>
      </c>
      <c r="C9">
        <v>168.19999999999996</v>
      </c>
      <c r="D9" s="85">
        <v>5.2000000000000002</v>
      </c>
      <c r="E9" s="100">
        <v>83.96926999999998</v>
      </c>
      <c r="G9" s="14" t="e">
        <v>#NAME?</v>
      </c>
      <c r="H9" s="14" t="e">
        <v>#NAME?</v>
      </c>
      <c r="I9" s="14" t="e">
        <v>#NAME?</v>
      </c>
    </row>
    <row r="10">
      <c r="A10">
        <v>5</v>
      </c>
      <c r="B10">
        <v>92</v>
      </c>
      <c r="C10">
        <v>34.700000000000003</v>
      </c>
      <c r="D10" s="85">
        <v>12.9</v>
      </c>
      <c r="E10" s="100">
        <v>107.90584</v>
      </c>
      <c r="K10" t="s">
        <v>384</v>
      </c>
      <c r="O10" s="15" t="s">
        <v>385</v>
      </c>
      <c r="P10" s="15">
        <v>5.0000000000000003e-02</v>
      </c>
      <c r="S10" t="s">
        <v>384</v>
      </c>
      <c r="W10" s="15" t="s">
        <v>385</v>
      </c>
      <c r="X10" s="15">
        <v>5.0000000000000003e-02</v>
      </c>
    </row>
    <row r="11">
      <c r="A11">
        <v>5</v>
      </c>
      <c r="B11">
        <v>98</v>
      </c>
      <c r="C11">
        <v>34.700000000000003</v>
      </c>
      <c r="D11" s="85">
        <v>7.7000000000000002</v>
      </c>
      <c r="E11" s="100">
        <v>104.56469000000001</v>
      </c>
      <c r="K11" s="24"/>
      <c r="L11" s="24" t="s">
        <v>294</v>
      </c>
      <c r="M11" s="24" t="s">
        <v>386</v>
      </c>
      <c r="N11" s="24" t="s">
        <v>387</v>
      </c>
      <c r="O11" s="24" t="s">
        <v>388</v>
      </c>
      <c r="P11" s="24" t="s">
        <v>189</v>
      </c>
      <c r="Q11" s="24" t="s">
        <v>204</v>
      </c>
      <c r="S11" s="24"/>
      <c r="T11" s="24" t="s">
        <v>294</v>
      </c>
      <c r="U11" s="24" t="s">
        <v>386</v>
      </c>
      <c r="V11" s="24" t="s">
        <v>387</v>
      </c>
      <c r="W11" s="24" t="s">
        <v>388</v>
      </c>
      <c r="X11" s="24" t="s">
        <v>189</v>
      </c>
      <c r="Y11" s="24" t="s">
        <v>204</v>
      </c>
    </row>
    <row r="12">
      <c r="A12">
        <v>6</v>
      </c>
      <c r="B12">
        <v>92</v>
      </c>
      <c r="C12">
        <v>59.799999999999997</v>
      </c>
      <c r="D12" s="85">
        <v>14</v>
      </c>
      <c r="E12" s="100">
        <v>137.31122999999999</v>
      </c>
      <c r="K12" t="s">
        <v>389</v>
      </c>
      <c r="L12">
        <f>COUNT(H2)</f>
        <v>0</v>
      </c>
      <c r="M12" t="e">
        <v>#NAME?</v>
      </c>
      <c r="N12" t="e">
        <f t="shared" ref="N12:N13" si="1848">M12/L12</f>
        <v>#NAME?</v>
      </c>
      <c r="O12" t="e">
        <f>N12/N13</f>
        <v>#NAME?</v>
      </c>
      <c r="P12" t="e">
        <f>_xlfn.F.DIST.RT(O12,L12,L13)</f>
        <v>#NAME?</v>
      </c>
      <c r="Q12" s="15" t="e">
        <f>IF(P12&lt;P10,"yes","no")</f>
        <v>#NAME?</v>
      </c>
      <c r="S12" t="s">
        <v>389</v>
      </c>
      <c r="T12">
        <f>COUNT(D2)</f>
        <v>1</v>
      </c>
      <c r="U12" t="e">
        <v>#NAME?</v>
      </c>
      <c r="V12" t="e">
        <f t="shared" ref="V12:V13" si="1849">U12/T12</f>
        <v>#NAME?</v>
      </c>
      <c r="W12" t="e">
        <f>V12/V13</f>
        <v>#NAME?</v>
      </c>
      <c r="X12" t="e">
        <f>_xlfn.F.DIST.RT(W12,T12,T13)</f>
        <v>#NAME?</v>
      </c>
      <c r="Y12" s="15" t="e">
        <f>IF(X12&lt;X10,"yes","no")</f>
        <v>#NAME?</v>
      </c>
    </row>
    <row r="13">
      <c r="A13">
        <v>6</v>
      </c>
      <c r="B13">
        <v>98</v>
      </c>
      <c r="C13">
        <v>59.799999999999997</v>
      </c>
      <c r="D13" s="85">
        <v>4.7999999999999998</v>
      </c>
      <c r="E13" s="100">
        <v>112.26517</v>
      </c>
      <c r="K13" t="s">
        <v>342</v>
      </c>
      <c r="L13">
        <f>L14-L12</f>
        <v>-1</v>
      </c>
      <c r="M13" t="e">
        <f>M14-M12</f>
        <v>#NAME?</v>
      </c>
      <c r="N13" t="e">
        <f t="shared" si="1848"/>
        <v>#NAME?</v>
      </c>
      <c r="S13" t="s">
        <v>342</v>
      </c>
      <c r="T13">
        <f>T14-T12</f>
        <v>14</v>
      </c>
      <c r="U13" t="e">
        <f>U14-U12</f>
        <v>#NAME?</v>
      </c>
      <c r="V13" t="e">
        <f t="shared" si="1849"/>
        <v>#NAME?</v>
      </c>
    </row>
    <row r="14">
      <c r="A14">
        <v>7</v>
      </c>
      <c r="B14">
        <v>92</v>
      </c>
      <c r="C14">
        <v>18.600000000000001</v>
      </c>
      <c r="D14" s="85">
        <v>9.3000000000000007</v>
      </c>
      <c r="E14" s="100">
        <v>71.970619999999997</v>
      </c>
      <c r="K14" s="14" t="s">
        <v>390</v>
      </c>
      <c r="L14" s="14">
        <f>L8-1</f>
        <v>-1</v>
      </c>
      <c r="M14" s="14" t="e">
        <f>DEVSQ(I2:I9)</f>
        <v>#NAME?</v>
      </c>
      <c r="N14" s="14"/>
      <c r="O14" s="14"/>
      <c r="P14" s="14"/>
      <c r="Q14" s="14"/>
      <c r="S14" s="14" t="s">
        <v>390</v>
      </c>
      <c r="T14" s="14">
        <f>T8-1</f>
        <v>15</v>
      </c>
      <c r="U14" s="14">
        <f>DEVSQ(E2:E17)</f>
        <v>4675.0608462528999</v>
      </c>
      <c r="V14" s="14"/>
      <c r="W14" s="14"/>
      <c r="X14" s="14"/>
      <c r="Y14" s="14"/>
    </row>
    <row r="15">
      <c r="A15">
        <v>7</v>
      </c>
      <c r="B15">
        <v>98</v>
      </c>
      <c r="C15">
        <v>18.600000000000001</v>
      </c>
      <c r="D15" s="85">
        <v>5.7999999999999998</v>
      </c>
      <c r="E15" s="100">
        <v>86.286169999999998</v>
      </c>
    </row>
    <row r="16">
      <c r="A16">
        <v>8</v>
      </c>
      <c r="B16">
        <v>92</v>
      </c>
      <c r="C16">
        <v>95.299999999999997</v>
      </c>
      <c r="D16" s="85">
        <v>8</v>
      </c>
      <c r="E16" s="100">
        <v>97.526210000000006</v>
      </c>
      <c r="K16" s="24"/>
      <c r="L16" s="24" t="s">
        <v>391</v>
      </c>
      <c r="M16" s="24" t="s">
        <v>392</v>
      </c>
      <c r="N16" s="24" t="s">
        <v>393</v>
      </c>
      <c r="O16" s="24" t="s">
        <v>189</v>
      </c>
      <c r="P16" s="24" t="s">
        <v>215</v>
      </c>
      <c r="Q16" s="24" t="s">
        <v>216</v>
      </c>
      <c r="S16" s="24"/>
      <c r="T16" s="24" t="s">
        <v>391</v>
      </c>
      <c r="U16" s="24" t="s">
        <v>392</v>
      </c>
      <c r="V16" s="24" t="s">
        <v>393</v>
      </c>
      <c r="W16" s="24" t="s">
        <v>189</v>
      </c>
      <c r="X16" s="24" t="s">
        <v>215</v>
      </c>
      <c r="Y16" s="24" t="s">
        <v>216</v>
      </c>
    </row>
    <row r="17">
      <c r="A17" s="14">
        <v>8</v>
      </c>
      <c r="B17" s="14">
        <v>98</v>
      </c>
      <c r="C17" s="14">
        <v>95.299999999999997</v>
      </c>
      <c r="D17" s="88">
        <v>4.5999999999999996</v>
      </c>
      <c r="E17" s="103">
        <v>76.552049999999994</v>
      </c>
      <c r="K17" t="s">
        <v>396</v>
      </c>
      <c r="L17" t="e">
        <v>#NAME?</v>
      </c>
      <c r="M17" t="e">
        <v>#NAME?</v>
      </c>
      <c r="N17" t="e">
        <f t="shared" ref="N17:N18" si="1850">L17/M17</f>
        <v>#NAME?</v>
      </c>
      <c r="O17" t="e">
        <f t="shared" ref="O17:O18" si="1851">_xlfn.T.DIST.2T(ABS(N17),$L$13)</f>
        <v>#NAME?</v>
      </c>
      <c r="P17" t="e">
        <f t="shared" ref="P17:P18" si="1852">L17-_xlfn.T.INV.2T(P$10,$L$13)*M17</f>
        <v>#NAME?</v>
      </c>
      <c r="Q17" t="e">
        <f t="shared" ref="Q17:Q18" si="1853">L17+_xlfn.T.INV.2T(P$10,$L$13)*M17</f>
        <v>#NAME?</v>
      </c>
      <c r="S17" t="s">
        <v>396</v>
      </c>
      <c r="T17" t="e">
        <v>#NAME?</v>
      </c>
      <c r="U17" t="e">
        <v>#NAME?</v>
      </c>
      <c r="V17" t="e">
        <f t="shared" ref="V17:V18" si="1854">T17/U17</f>
        <v>#NAME?</v>
      </c>
      <c r="W17" t="e">
        <f t="shared" ref="W17:W18" si="1855">_xlfn.T.DIST.2T(ABS(V17),$T$13)</f>
        <v>#NAME?</v>
      </c>
      <c r="X17" t="e">
        <f t="shared" ref="X17:X18" si="1856">T17-_xlfn.T.INV.2T(X$10,$T$13)*U17</f>
        <v>#NAME?</v>
      </c>
      <c r="Y17" t="e">
        <f t="shared" ref="Y17:Y18" si="1857">T17+_xlfn.T.INV.2T(X$10,$T$13)*U17</f>
        <v>#NAME?</v>
      </c>
    </row>
    <row r="18">
      <c r="K18" s="14" t="e">
        <f t="array" ref="K18">TRANSPOSE(H1)</f>
        <v>#NAME?</v>
      </c>
      <c r="L18" s="14" t="e">
        <v>#NAME?</v>
      </c>
      <c r="M18" s="14" t="e">
        <v>#NAME?</v>
      </c>
      <c r="N18" s="14" t="e">
        <f t="shared" si="1850"/>
        <v>#NAME?</v>
      </c>
      <c r="O18" s="14" t="e">
        <f t="shared" si="1851"/>
        <v>#NAME?</v>
      </c>
      <c r="P18" s="14" t="e">
        <f t="shared" si="1852"/>
        <v>#NAME?</v>
      </c>
      <c r="Q18" s="14" t="e">
        <f t="shared" si="1853"/>
        <v>#NAME?</v>
      </c>
      <c r="S18" s="14" t="str">
        <f t="array" ref="S18">TRANSPOSE(D1)</f>
        <v>unem</v>
      </c>
      <c r="T18" s="14" t="e">
        <v>#NAME?</v>
      </c>
      <c r="U18" s="14" t="e">
        <v>#NAME?</v>
      </c>
      <c r="V18" s="14" t="e">
        <f t="shared" si="1854"/>
        <v>#NAME?</v>
      </c>
      <c r="W18" s="14" t="e">
        <f t="shared" si="1855"/>
        <v>#NAME?</v>
      </c>
      <c r="X18" s="14" t="e">
        <f t="shared" si="1856"/>
        <v>#NAME?</v>
      </c>
      <c r="Y18" s="14" t="e">
        <f t="shared" si="1857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0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S1" activeCellId="0" sqref="S1"/>
    </sheetView>
  </sheetViews>
  <sheetFormatPr defaultRowHeight="14.25"/>
  <cols>
    <col customWidth="1" min="1" max="2" width="5.4553570000000002"/>
    <col customWidth="1" min="3" max="5" style="100" width="8.7232140000000005"/>
    <col customWidth="1" min="6" max="6" width="6.3660709999999998"/>
    <col customWidth="1" min="7" max="7" width="16.089286000000001"/>
    <col customWidth="1" min="19" max="19" width="4.6339290000000002"/>
    <col customWidth="1" min="23" max="23" width="4.6339290000000002"/>
    <col customWidth="1" min="24" max="24" width="15.633929"/>
  </cols>
  <sheetData>
    <row r="1">
      <c r="A1" s="32" t="s">
        <v>667</v>
      </c>
      <c r="B1" s="32" t="s">
        <v>616</v>
      </c>
      <c r="C1" s="102" t="s">
        <v>668</v>
      </c>
      <c r="D1" s="102" t="s">
        <v>669</v>
      </c>
      <c r="E1" s="102" t="s">
        <v>670</v>
      </c>
      <c r="G1" t="s">
        <v>369</v>
      </c>
      <c r="P1" s="102" t="s">
        <v>668</v>
      </c>
      <c r="Q1" s="102" t="s">
        <v>669</v>
      </c>
      <c r="R1" s="102" t="s">
        <v>670</v>
      </c>
      <c r="T1" s="32" t="e">
        <v>#NAME?</v>
      </c>
      <c r="U1" s="32" t="e">
        <v>#NAME?</v>
      </c>
      <c r="V1" s="32" t="e">
        <v>#NAME?</v>
      </c>
      <c r="X1" t="s">
        <v>671</v>
      </c>
    </row>
    <row r="2">
      <c r="A2">
        <v>1</v>
      </c>
      <c r="B2">
        <v>2010</v>
      </c>
      <c r="C2" s="100">
        <v>8.9305000000000003</v>
      </c>
      <c r="D2" s="100">
        <v>3.4831300000000001</v>
      </c>
      <c r="E2" s="100">
        <v>9.7047600000000003</v>
      </c>
      <c r="P2">
        <f t="shared" ref="P2:P8" si="1858">IF($B2=2012,"",C2-C3)</f>
        <v>-8.4599999999999995e-02</v>
      </c>
      <c r="Q2">
        <f t="shared" ref="Q2:Q8" si="1859">IF($B2=2012,"",D2-D3)</f>
        <v>-0.35193999999999998</v>
      </c>
      <c r="R2">
        <f t="shared" ref="R2:R8" si="1860">IF($B2=2012,"",E2-E3)</f>
        <v>-0.13838999999999901</v>
      </c>
      <c r="T2" t="e">
        <v>#NAME?</v>
      </c>
      <c r="U2" t="e">
        <v>#NAME?</v>
      </c>
      <c r="V2" t="e">
        <v>#NAME?</v>
      </c>
    </row>
    <row r="3">
      <c r="A3">
        <v>1</v>
      </c>
      <c r="B3">
        <v>2012</v>
      </c>
      <c r="C3" s="100">
        <v>9.0151000000000003</v>
      </c>
      <c r="D3" s="100">
        <v>3.83507</v>
      </c>
      <c r="E3" s="100">
        <v>9.8431499999999996</v>
      </c>
      <c r="G3" s="49" t="s">
        <v>371</v>
      </c>
      <c r="H3" s="49"/>
      <c r="J3" s="49"/>
      <c r="K3" s="49"/>
      <c r="P3" t="str">
        <f t="shared" si="1858"/>
        <v/>
      </c>
      <c r="Q3" t="str">
        <f t="shared" si="1859"/>
        <v/>
      </c>
      <c r="R3" t="str">
        <f t="shared" si="1860"/>
        <v/>
      </c>
      <c r="T3" t="e">
        <v>#NAME?</v>
      </c>
      <c r="U3" t="e">
        <v>#NAME?</v>
      </c>
      <c r="V3" t="e">
        <v>#NAME?</v>
      </c>
      <c r="X3" s="49" t="s">
        <v>371</v>
      </c>
      <c r="Y3" s="49"/>
      <c r="AA3" s="49"/>
      <c r="AB3" s="49"/>
    </row>
    <row r="4">
      <c r="A4">
        <v>2</v>
      </c>
      <c r="B4">
        <v>2010</v>
      </c>
      <c r="C4" s="100">
        <v>7.2570899999999998</v>
      </c>
      <c r="D4" s="100">
        <v>4.43757</v>
      </c>
      <c r="E4" s="100">
        <v>8.5477600000000002</v>
      </c>
      <c r="G4" t="s">
        <v>373</v>
      </c>
      <c r="H4" t="e">
        <f>SQRT(H5)</f>
        <v>#NAME?</v>
      </c>
      <c r="J4" t="s">
        <v>374</v>
      </c>
      <c r="K4" t="e">
        <f>H8*LN(I13/H8)+2*(H12+1)</f>
        <v>#NAME?</v>
      </c>
      <c r="P4">
        <f t="shared" si="1858"/>
        <v>-2.0546700000000002</v>
      </c>
      <c r="Q4">
        <f t="shared" si="1859"/>
        <v>4.4010000000000001e-02</v>
      </c>
      <c r="R4">
        <f t="shared" si="1860"/>
        <v>0.750170000000001</v>
      </c>
      <c r="T4" t="e">
        <v>#NAME?</v>
      </c>
      <c r="U4" t="e">
        <v>#NAME?</v>
      </c>
      <c r="V4" t="e">
        <v>#NAME?</v>
      </c>
      <c r="X4" t="s">
        <v>373</v>
      </c>
      <c r="Y4" t="e">
        <f>SQRT(Y5)</f>
        <v>#NAME?</v>
      </c>
      <c r="AA4" t="s">
        <v>374</v>
      </c>
      <c r="AB4" t="e">
        <f>Y8*LN(Z13/Y8)+2*Y12</f>
        <v>#NAME?</v>
      </c>
    </row>
    <row r="5">
      <c r="A5">
        <v>2</v>
      </c>
      <c r="B5">
        <v>2012</v>
      </c>
      <c r="C5" s="100">
        <v>9.3117599999999996</v>
      </c>
      <c r="D5" s="100">
        <v>4.3935599999999999</v>
      </c>
      <c r="E5" s="100">
        <v>7.7975899999999987</v>
      </c>
      <c r="G5" t="s">
        <v>375</v>
      </c>
      <c r="H5" t="e">
        <f>I12/I14</f>
        <v>#NAME?</v>
      </c>
      <c r="J5" t="s">
        <v>376</v>
      </c>
      <c r="K5" t="e">
        <f>K4+2*(H12+2)*(H12+3)/(H8-H12-3)</f>
        <v>#NAME?</v>
      </c>
      <c r="P5" t="str">
        <f t="shared" si="1858"/>
        <v/>
      </c>
      <c r="Q5" t="str">
        <f t="shared" si="1859"/>
        <v/>
      </c>
      <c r="R5" t="str">
        <f t="shared" si="1860"/>
        <v/>
      </c>
      <c r="T5" t="e">
        <v>#NAME?</v>
      </c>
      <c r="U5" t="e">
        <v>#NAME?</v>
      </c>
      <c r="V5" t="e">
        <v>#NAME?</v>
      </c>
      <c r="X5" t="s">
        <v>375</v>
      </c>
      <c r="Y5" t="e">
        <f>Z12/Z14</f>
        <v>#NAME?</v>
      </c>
      <c r="AA5" t="s">
        <v>376</v>
      </c>
      <c r="AB5" t="e">
        <f>AB4+2*(Y12+1)*(Y12+2)/(Y8-Y12-2)</f>
        <v>#NAME?</v>
      </c>
    </row>
    <row r="6">
      <c r="A6">
        <v>3</v>
      </c>
      <c r="B6">
        <v>2010</v>
      </c>
      <c r="C6" s="100">
        <v>6.5219699999999996</v>
      </c>
      <c r="D6" s="100">
        <v>4.1636499999999996</v>
      </c>
      <c r="E6" s="100">
        <v>7.4622799999999998</v>
      </c>
      <c r="G6" t="s">
        <v>378</v>
      </c>
      <c r="H6" t="e">
        <f>1-(1-H5)*(H8-1)/(H8-H12-1)</f>
        <v>#NAME?</v>
      </c>
      <c r="J6" s="14" t="s">
        <v>395</v>
      </c>
      <c r="K6" s="14" t="e">
        <f>H8*LN(I13/H8)+(H12+1)*LN(H8)</f>
        <v>#NAME?</v>
      </c>
      <c r="P6">
        <f t="shared" si="1858"/>
        <v>-1.2929299999999999</v>
      </c>
      <c r="Q6">
        <f t="shared" si="1859"/>
        <v>0.20339000000000002</v>
      </c>
      <c r="R6">
        <f t="shared" si="1860"/>
        <v>3.5500000000000002e-03</v>
      </c>
      <c r="T6" t="e">
        <v>#NAME?</v>
      </c>
      <c r="U6" t="e">
        <v>#NAME?</v>
      </c>
      <c r="V6" t="e">
        <v>#NAME?</v>
      </c>
      <c r="X6" t="s">
        <v>378</v>
      </c>
      <c r="Y6" t="e">
        <f>1-(1-Y5)*Y8/(Y8-Y12)</f>
        <v>#NAME?</v>
      </c>
      <c r="AA6" s="14" t="s">
        <v>379</v>
      </c>
      <c r="AB6" s="14" t="e">
        <f>Y8*LN(Z13/Y8)+Y12*LN(Y8)</f>
        <v>#NAME?</v>
      </c>
    </row>
    <row r="7">
      <c r="A7">
        <v>3</v>
      </c>
      <c r="B7">
        <v>2012</v>
      </c>
      <c r="C7" s="100">
        <v>7.8148999999999988</v>
      </c>
      <c r="D7" s="100">
        <v>3.9602599999999999</v>
      </c>
      <c r="E7" s="100">
        <v>7.4587300000000001</v>
      </c>
      <c r="G7" t="s">
        <v>381</v>
      </c>
      <c r="H7" t="e">
        <f>SQRT(J13)</f>
        <v>#NAME?</v>
      </c>
      <c r="P7" t="str">
        <f t="shared" si="1858"/>
        <v/>
      </c>
      <c r="Q7" t="str">
        <f t="shared" si="1859"/>
        <v/>
      </c>
      <c r="R7" t="str">
        <f t="shared" si="1860"/>
        <v/>
      </c>
      <c r="T7" t="e">
        <v>#NAME?</v>
      </c>
      <c r="U7" t="e">
        <v>#NAME?</v>
      </c>
      <c r="V7" t="e">
        <v>#NAME?</v>
      </c>
      <c r="X7" t="s">
        <v>381</v>
      </c>
      <c r="Y7" t="e">
        <f>SQRT(AA13)</f>
        <v>#NAME?</v>
      </c>
    </row>
    <row r="8">
      <c r="A8">
        <v>4</v>
      </c>
      <c r="B8">
        <v>2010</v>
      </c>
      <c r="C8" s="100">
        <v>9.2680000000000007</v>
      </c>
      <c r="D8" s="100">
        <v>4.5826599999999997</v>
      </c>
      <c r="E8" s="100">
        <v>8.7930200000000003</v>
      </c>
      <c r="G8" s="14" t="s">
        <v>383</v>
      </c>
      <c r="H8" s="14">
        <f>COUNT(E2:E17)</f>
        <v>16</v>
      </c>
      <c r="P8">
        <f t="shared" si="1858"/>
        <v>0.92856000000000116</v>
      </c>
      <c r="Q8">
        <f t="shared" si="1859"/>
        <v>0.26000999999999902</v>
      </c>
      <c r="R8">
        <f t="shared" si="1860"/>
        <v>-0.24001</v>
      </c>
      <c r="T8" t="e">
        <v>#NAME?</v>
      </c>
      <c r="U8" t="e">
        <v>#NAME?</v>
      </c>
      <c r="V8" t="e">
        <v>#NAME?</v>
      </c>
      <c r="X8" s="14" t="s">
        <v>383</v>
      </c>
      <c r="Y8" s="14">
        <f>COUNT(V2:V9)</f>
        <v>0</v>
      </c>
    </row>
    <row r="9">
      <c r="A9">
        <v>4</v>
      </c>
      <c r="B9">
        <v>2012</v>
      </c>
      <c r="C9" s="100">
        <v>8.339439999999998</v>
      </c>
      <c r="D9" s="100">
        <v>4.3226500000000003</v>
      </c>
      <c r="E9" s="100">
        <v>9.0330300000000001</v>
      </c>
      <c r="P9" t="str">
        <f>IF($B9=2012,"",C9-C10)</f>
        <v/>
      </c>
      <c r="Q9" t="str">
        <f>IF($B9=2012,"",D9-D10)</f>
        <v/>
      </c>
      <c r="R9" t="str">
        <f>IF($B9=2012,"",E9-E10)</f>
        <v/>
      </c>
      <c r="T9" s="14" t="e">
        <v>#NAME?</v>
      </c>
      <c r="U9" s="14" t="e">
        <v>#NAME?</v>
      </c>
      <c r="V9" s="14" t="e">
        <v>#NAME?</v>
      </c>
    </row>
    <row r="10">
      <c r="A10">
        <v>5</v>
      </c>
      <c r="B10">
        <v>2010</v>
      </c>
      <c r="C10" s="100">
        <v>8.0331600000000005</v>
      </c>
      <c r="D10" s="100">
        <v>5.3003099999999996</v>
      </c>
      <c r="E10" s="100">
        <v>3.9876100000000001</v>
      </c>
      <c r="G10" t="s">
        <v>384</v>
      </c>
      <c r="K10" s="15" t="s">
        <v>385</v>
      </c>
      <c r="L10" s="15">
        <v>5.0000000000000003e-02</v>
      </c>
      <c r="P10">
        <f t="shared" ref="P10:P17" si="1861">IF($B10=2012,"",C10-C11)</f>
        <v>-0.16077999999999901</v>
      </c>
      <c r="Q10">
        <f t="shared" ref="Q10:Q17" si="1862">IF($B10=2012,"",D10-D11)</f>
        <v>-0.13963</v>
      </c>
      <c r="R10">
        <f t="shared" ref="R10:R17" si="1863">IF($B10=2012,"",E10-E11)</f>
        <v>2.622e-02</v>
      </c>
      <c r="X10" t="s">
        <v>384</v>
      </c>
      <c r="AB10" s="15" t="s">
        <v>385</v>
      </c>
      <c r="AC10" s="15">
        <v>5.0000000000000003e-02</v>
      </c>
    </row>
    <row r="11">
      <c r="A11">
        <v>5</v>
      </c>
      <c r="B11">
        <v>2012</v>
      </c>
      <c r="C11" s="100">
        <v>8.1939399999999978</v>
      </c>
      <c r="D11" s="100">
        <v>5.43994</v>
      </c>
      <c r="E11" s="100">
        <v>3.9613900000000002</v>
      </c>
      <c r="G11" s="24"/>
      <c r="H11" s="24" t="s">
        <v>294</v>
      </c>
      <c r="I11" s="24" t="s">
        <v>386</v>
      </c>
      <c r="J11" s="24" t="s">
        <v>387</v>
      </c>
      <c r="K11" s="24" t="s">
        <v>388</v>
      </c>
      <c r="L11" s="24" t="s">
        <v>189</v>
      </c>
      <c r="M11" s="24" t="s">
        <v>204</v>
      </c>
      <c r="P11" t="str">
        <f t="shared" si="1861"/>
        <v/>
      </c>
      <c r="Q11" t="str">
        <f t="shared" si="1862"/>
        <v/>
      </c>
      <c r="R11" t="str">
        <f t="shared" si="1863"/>
        <v/>
      </c>
      <c r="T11" s="32" t="e">
        <v>#NAME?</v>
      </c>
      <c r="U11" s="32"/>
      <c r="V11" s="32"/>
      <c r="X11" s="24"/>
      <c r="Y11" s="24" t="s">
        <v>294</v>
      </c>
      <c r="Z11" s="24" t="s">
        <v>386</v>
      </c>
      <c r="AA11" s="24" t="s">
        <v>387</v>
      </c>
      <c r="AB11" s="24" t="s">
        <v>388</v>
      </c>
      <c r="AC11" s="24" t="s">
        <v>189</v>
      </c>
      <c r="AD11" s="24" t="s">
        <v>204</v>
      </c>
    </row>
    <row r="12">
      <c r="A12">
        <v>6</v>
      </c>
      <c r="B12">
        <v>2010</v>
      </c>
      <c r="C12" s="100">
        <v>10.104450000000002</v>
      </c>
      <c r="D12" s="100">
        <v>10.0128</v>
      </c>
      <c r="E12" s="100">
        <v>4.1316800000000002</v>
      </c>
      <c r="G12" t="s">
        <v>389</v>
      </c>
      <c r="H12">
        <f>COUNT(C2:D2)</f>
        <v>2</v>
      </c>
      <c r="I12" t="e">
        <v>#NAME?</v>
      </c>
      <c r="J12" t="e">
        <f t="shared" ref="J12:J13" si="1864">I12/H12</f>
        <v>#NAME?</v>
      </c>
      <c r="K12" t="e">
        <f>J12/J13</f>
        <v>#NAME?</v>
      </c>
      <c r="L12" t="e">
        <f>_xlfn.F.DIST.RT(K12,H12,H13)</f>
        <v>#NAME?</v>
      </c>
      <c r="M12" s="15" t="e">
        <f>IF(L12&lt;L10,"yes","no")</f>
        <v>#NAME?</v>
      </c>
      <c r="P12">
        <f t="shared" si="1861"/>
        <v>5.0979999999999005e-02</v>
      </c>
      <c r="Q12">
        <f t="shared" si="1862"/>
        <v>-1.1169999999999999e-02</v>
      </c>
      <c r="R12">
        <f t="shared" si="1863"/>
        <v>0.25773000000000101</v>
      </c>
      <c r="X12" t="s">
        <v>389</v>
      </c>
      <c r="Y12">
        <f>COUNT(T2:U2)</f>
        <v>0</v>
      </c>
      <c r="Z12" t="e">
        <f>SUMSQ(MMULT(T2:U9,Y17:Y18))</f>
        <v>#NAME?</v>
      </c>
      <c r="AA12" t="e">
        <f t="shared" ref="AA12:AA13" si="1865">Z12/Y12</f>
        <v>#NAME?</v>
      </c>
      <c r="AB12" t="e">
        <f>AA12/AA13</f>
        <v>#NAME?</v>
      </c>
      <c r="AC12" t="e">
        <f>_xlfn.F.DIST.RT(AB12,Y12,Y13)</f>
        <v>#NAME?</v>
      </c>
      <c r="AD12" s="15" t="e">
        <f>IF(AC12&lt;AC10,"yes","no")</f>
        <v>#NAME?</v>
      </c>
    </row>
    <row r="13">
      <c r="A13">
        <v>6</v>
      </c>
      <c r="B13">
        <v>2012</v>
      </c>
      <c r="C13" s="100">
        <v>10.053470000000001</v>
      </c>
      <c r="D13" s="100">
        <v>10.02397</v>
      </c>
      <c r="E13" s="100">
        <v>3.8739499999999998</v>
      </c>
      <c r="G13" t="s">
        <v>342</v>
      </c>
      <c r="H13">
        <f>H14-H12</f>
        <v>13</v>
      </c>
      <c r="I13" t="e">
        <f>I14-I12</f>
        <v>#NAME?</v>
      </c>
      <c r="J13" t="e">
        <f t="shared" si="1864"/>
        <v>#NAME?</v>
      </c>
      <c r="P13" t="str">
        <f t="shared" si="1861"/>
        <v/>
      </c>
      <c r="Q13" t="str">
        <f t="shared" si="1862"/>
        <v/>
      </c>
      <c r="R13" t="str">
        <f t="shared" si="1863"/>
        <v/>
      </c>
      <c r="X13" t="s">
        <v>342</v>
      </c>
      <c r="Y13">
        <f>Y14-Y12</f>
        <v>0</v>
      </c>
      <c r="Z13" t="e">
        <f>Z14-Z12</f>
        <v>#NAME?</v>
      </c>
      <c r="AA13" t="e">
        <f t="shared" si="1865"/>
        <v>#NAME?</v>
      </c>
    </row>
    <row r="14">
      <c r="A14">
        <v>7</v>
      </c>
      <c r="B14">
        <v>2010</v>
      </c>
      <c r="C14" s="100">
        <v>10.749910000000002</v>
      </c>
      <c r="D14" s="100">
        <v>5.1787400000000003</v>
      </c>
      <c r="E14" s="100">
        <v>11.54217</v>
      </c>
      <c r="G14" s="14" t="s">
        <v>390</v>
      </c>
      <c r="H14" s="14">
        <f>H8-1</f>
        <v>15</v>
      </c>
      <c r="I14" s="14">
        <f>DEVSQ(E2:E17)</f>
        <v>99.944646719800005</v>
      </c>
      <c r="J14" s="14"/>
      <c r="K14" s="14"/>
      <c r="L14" s="14"/>
      <c r="M14" s="14"/>
      <c r="P14">
        <f t="shared" si="1861"/>
        <v>-0.59357000000000004</v>
      </c>
      <c r="Q14">
        <f t="shared" si="1862"/>
        <v>-0.24328</v>
      </c>
      <c r="R14">
        <f t="shared" si="1863"/>
        <v>-4.4279999999998994e-02</v>
      </c>
      <c r="X14" s="14" t="s">
        <v>390</v>
      </c>
      <c r="Y14" s="14">
        <f>Y8</f>
        <v>0</v>
      </c>
      <c r="Z14" s="14" t="e">
        <f>SUMSQ(V2:V9)</f>
        <v>#NAME?</v>
      </c>
      <c r="AA14" s="14"/>
      <c r="AB14" s="14"/>
      <c r="AC14" s="14"/>
      <c r="AD14" s="14"/>
    </row>
    <row r="15">
      <c r="A15">
        <v>7</v>
      </c>
      <c r="B15">
        <v>2012</v>
      </c>
      <c r="C15" s="100">
        <v>11.34348</v>
      </c>
      <c r="D15" s="100">
        <v>5.4220199999999998</v>
      </c>
      <c r="E15" s="100">
        <v>11.586449999999999</v>
      </c>
      <c r="P15" t="str">
        <f t="shared" si="1861"/>
        <v/>
      </c>
      <c r="Q15" t="str">
        <f t="shared" si="1862"/>
        <v/>
      </c>
      <c r="R15" t="str">
        <f t="shared" si="1863"/>
        <v/>
      </c>
    </row>
    <row r="16">
      <c r="A16">
        <v>8</v>
      </c>
      <c r="B16">
        <v>2010</v>
      </c>
      <c r="C16" s="100">
        <v>8.2970400000000009</v>
      </c>
      <c r="D16" s="100">
        <v>3.8803399999999999</v>
      </c>
      <c r="E16" s="100">
        <v>8.8770299999999978</v>
      </c>
      <c r="G16" s="24"/>
      <c r="H16" s="24" t="s">
        <v>391</v>
      </c>
      <c r="I16" s="24" t="s">
        <v>392</v>
      </c>
      <c r="J16" s="24" t="s">
        <v>393</v>
      </c>
      <c r="K16" s="24" t="s">
        <v>189</v>
      </c>
      <c r="L16" s="24" t="s">
        <v>215</v>
      </c>
      <c r="M16" s="24" t="s">
        <v>216</v>
      </c>
      <c r="N16" s="24" t="s">
        <v>397</v>
      </c>
      <c r="O16" s="25"/>
      <c r="P16" s="14">
        <f t="shared" si="1861"/>
        <v>-3.3849999999998999e-02</v>
      </c>
      <c r="Q16" s="14">
        <f t="shared" si="1862"/>
        <v>7.1690000000000004e-02</v>
      </c>
      <c r="R16" s="14">
        <f t="shared" si="1863"/>
        <v>-3.5170000000000999e-02</v>
      </c>
      <c r="S16" s="25"/>
      <c r="X16" s="24"/>
      <c r="Y16" s="24" t="s">
        <v>391</v>
      </c>
      <c r="Z16" s="24" t="s">
        <v>392</v>
      </c>
      <c r="AA16" s="24" t="s">
        <v>393</v>
      </c>
      <c r="AB16" s="24" t="s">
        <v>189</v>
      </c>
      <c r="AC16" s="24" t="s">
        <v>215</v>
      </c>
      <c r="AD16" s="24" t="s">
        <v>216</v>
      </c>
      <c r="AE16" s="24" t="s">
        <v>397</v>
      </c>
    </row>
    <row r="17">
      <c r="A17" s="14">
        <v>8</v>
      </c>
      <c r="B17" s="14">
        <v>2012</v>
      </c>
      <c r="C17" s="103">
        <v>8.3308900000000001</v>
      </c>
      <c r="D17" s="103">
        <v>3.8086500000000001</v>
      </c>
      <c r="E17" s="103">
        <v>8.9122000000000003</v>
      </c>
      <c r="G17" t="s">
        <v>396</v>
      </c>
      <c r="H17" t="e">
        <v>#NAME?</v>
      </c>
      <c r="I17" t="e">
        <v>#NAME?</v>
      </c>
      <c r="J17" t="e">
        <f t="shared" ref="J17:J19" si="1866">H17/I17</f>
        <v>#NAME?</v>
      </c>
      <c r="K17" t="e">
        <f t="shared" ref="K17:K19" si="1867">_xlfn.T.DIST.2T(ABS(J17),$H$13)</f>
        <v>#NAME?</v>
      </c>
      <c r="L17" t="e">
        <f t="shared" ref="L17:L19" si="1868">H17-_xlfn.T.INV.2T(L$10,$H$13)*I17</f>
        <v>#NAME?</v>
      </c>
      <c r="M17" t="e">
        <f t="shared" ref="M17:M19" si="1869">H17+_xlfn.T.INV.2T(L$10,$H$13)*I17</f>
        <v>#NAME?</v>
      </c>
      <c r="P17" t="str">
        <f t="shared" si="1861"/>
        <v/>
      </c>
      <c r="Q17" t="str">
        <f t="shared" si="1862"/>
        <v/>
      </c>
      <c r="R17" t="str">
        <f t="shared" si="1863"/>
        <v/>
      </c>
      <c r="X17" t="e">
        <f t="array" ref="X17:X18">TRANSPOSE(T1:U1)</f>
        <v>#NAME?</v>
      </c>
      <c r="Y17" t="e">
        <v>#NAME?</v>
      </c>
      <c r="Z17" t="e">
        <v>#NAME?</v>
      </c>
      <c r="AA17" t="e">
        <f t="shared" ref="AA17:AA18" si="1870">Y17/Z17</f>
        <v>#NAME?</v>
      </c>
      <c r="AB17" t="e">
        <f t="shared" ref="AB17:AB18" si="1871">_xlfn.T.DIST.2T(ABS(AA17),$Y$13)</f>
        <v>#NAME?</v>
      </c>
      <c r="AC17" t="e">
        <f t="shared" ref="AC17:AC18" si="1872">Y17-_xlfn.T.INV.2T(AC$10,$Y$13)*Z17</f>
        <v>#NAME?</v>
      </c>
      <c r="AD17" t="e">
        <f t="shared" ref="AD17:AD18" si="1873">Y17+_xlfn.T.INV.2T(AC$10,$Y$13)*Z17</f>
        <v>#NAME?</v>
      </c>
      <c r="AE17" t="e">
        <v>#NAME?</v>
      </c>
    </row>
    <row r="18">
      <c r="G18" t="str">
        <f t="array" ref="G18:G19">TRANSPOSE(C1:D1)</f>
        <v>lcapital</v>
      </c>
      <c r="H18" t="e">
        <v>#NAME?</v>
      </c>
      <c r="I18" t="e">
        <v>#NAME?</v>
      </c>
      <c r="J18" t="e">
        <f t="shared" si="1866"/>
        <v>#NAME?</v>
      </c>
      <c r="K18" t="e">
        <f t="shared" si="1867"/>
        <v>#NAME?</v>
      </c>
      <c r="L18" t="e">
        <f t="shared" si="1868"/>
        <v>#NAME?</v>
      </c>
      <c r="M18" t="e">
        <f t="shared" si="1869"/>
        <v>#NAME?</v>
      </c>
      <c r="N18" t="e">
        <v>#NAME?</v>
      </c>
      <c r="X18" s="14" t="e">
        <f/>
        <v>#NAME?</v>
      </c>
      <c r="Y18" s="14" t="e">
        <v>#NAME?</v>
      </c>
      <c r="Z18" s="14" t="e">
        <v>#NAME?</v>
      </c>
      <c r="AA18" s="14" t="e">
        <f t="shared" si="1870"/>
        <v>#NAME?</v>
      </c>
      <c r="AB18" s="14" t="e">
        <f t="shared" si="1871"/>
        <v>#NAME?</v>
      </c>
      <c r="AC18" s="14" t="e">
        <f t="shared" si="1872"/>
        <v>#NAME?</v>
      </c>
      <c r="AD18" s="14" t="e">
        <f t="shared" si="1873"/>
        <v>#NAME?</v>
      </c>
      <c r="AE18" s="14" t="e">
        <v>#NAME?</v>
      </c>
    </row>
    <row r="19">
      <c r="G19" s="14" t="str">
        <f/>
        <v>llabor</v>
      </c>
      <c r="H19" s="14" t="e">
        <v>#NAME?</v>
      </c>
      <c r="I19" s="14" t="e">
        <v>#NAME?</v>
      </c>
      <c r="J19" s="14" t="e">
        <f t="shared" si="1866"/>
        <v>#NAME?</v>
      </c>
      <c r="K19" s="14" t="e">
        <f t="shared" si="1867"/>
        <v>#NAME?</v>
      </c>
      <c r="L19" s="14" t="e">
        <f t="shared" si="1868"/>
        <v>#NAME?</v>
      </c>
      <c r="M19" s="14" t="e">
        <f t="shared" si="1869"/>
        <v>#NAME?</v>
      </c>
      <c r="N19" s="14" t="e">
        <v>#NAME?</v>
      </c>
      <c r="T19" s="14"/>
      <c r="U19" s="14"/>
      <c r="V19" s="14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0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M1" zoomScale="100" workbookViewId="0">
      <selection activeCell="T1" activeCellId="0" sqref="T1"/>
    </sheetView>
  </sheetViews>
  <sheetFormatPr defaultRowHeight="14.25"/>
  <cols>
    <col customWidth="1" min="25" max="25" width="17"/>
    <col customWidth="1" min="34" max="34" width="16.723213999999999"/>
    <col customWidth="1" min="47" max="47" width="15.901786"/>
  </cols>
  <sheetData>
    <row r="1">
      <c r="A1" s="32" t="s">
        <v>667</v>
      </c>
      <c r="B1" s="32" t="s">
        <v>616</v>
      </c>
      <c r="C1" s="32" t="s">
        <v>668</v>
      </c>
      <c r="D1" s="32" t="s">
        <v>669</v>
      </c>
      <c r="E1" s="32" t="s">
        <v>670</v>
      </c>
      <c r="G1" t="s">
        <v>369</v>
      </c>
      <c r="P1" s="14" t="s">
        <v>667</v>
      </c>
      <c r="Q1" s="32" t="s">
        <v>668</v>
      </c>
      <c r="R1" s="32" t="s">
        <v>669</v>
      </c>
      <c r="S1" s="32" t="s">
        <v>670</v>
      </c>
      <c r="T1" s="31"/>
      <c r="U1" s="32" t="e">
        <v>#NAME?</v>
      </c>
      <c r="V1" s="32" t="e">
        <v>#NAME?</v>
      </c>
      <c r="W1" s="32" t="e">
        <v>#NAME?</v>
      </c>
      <c r="Y1" t="s">
        <v>672</v>
      </c>
      <c r="AH1" t="s">
        <v>369</v>
      </c>
      <c r="AQ1" s="32" t="e">
        <v>#NAME?</v>
      </c>
      <c r="AR1" s="32"/>
      <c r="AS1" s="32"/>
      <c r="AU1" t="s">
        <v>369</v>
      </c>
    </row>
    <row r="2">
      <c r="A2">
        <v>1</v>
      </c>
      <c r="B2">
        <f>2010</f>
        <v>2010</v>
      </c>
      <c r="C2" s="100">
        <v>8.9305000000000003</v>
      </c>
      <c r="D2" s="100">
        <v>3.4831300000000001</v>
      </c>
      <c r="E2" s="100">
        <v>9.7047600000000003</v>
      </c>
      <c r="P2">
        <f t="shared" ref="P2:P9" si="1874">IF(B2=2010,A2,"")</f>
        <v>1</v>
      </c>
      <c r="Q2">
        <f t="shared" ref="Q2:Q8" si="1875">IF($B2=2010,AVERAGE(C2:C3),"")</f>
        <v>8.9727999999999994</v>
      </c>
      <c r="R2">
        <f t="shared" ref="R2:R8" si="1876">IF($B2=2010,AVERAGE(D2:D3),"")</f>
        <v>3.6591</v>
      </c>
      <c r="S2">
        <f t="shared" ref="S2:S8" si="1877">IF($B2=2010,AVERAGE(E2:E3),"")</f>
        <v>9.7739550000000008</v>
      </c>
      <c r="U2" t="e">
        <v>#NAME?</v>
      </c>
      <c r="V2" t="e">
        <v>#NAME?</v>
      </c>
      <c r="W2" t="e">
        <v>#NAME?</v>
      </c>
    </row>
    <row r="3">
      <c r="A3">
        <v>1</v>
      </c>
      <c r="B3">
        <v>2012</v>
      </c>
      <c r="C3" s="100">
        <v>9.0151000000000003</v>
      </c>
      <c r="D3" s="100">
        <v>3.83507</v>
      </c>
      <c r="E3" s="100">
        <v>9.8431499999999996</v>
      </c>
      <c r="G3" s="49" t="s">
        <v>371</v>
      </c>
      <c r="H3" s="49"/>
      <c r="J3" s="49"/>
      <c r="K3" s="49"/>
      <c r="P3" t="str">
        <f t="shared" si="1874"/>
        <v/>
      </c>
      <c r="Q3" t="str">
        <f t="shared" si="1875"/>
        <v/>
      </c>
      <c r="R3" t="str">
        <f t="shared" si="1876"/>
        <v/>
      </c>
      <c r="S3" t="str">
        <f t="shared" si="1877"/>
        <v/>
      </c>
      <c r="U3" t="e">
        <v>#NAME?</v>
      </c>
      <c r="V3" t="e">
        <v>#NAME?</v>
      </c>
      <c r="W3" t="e">
        <v>#NAME?</v>
      </c>
      <c r="Y3" s="49" t="s">
        <v>371</v>
      </c>
      <c r="Z3" s="49"/>
      <c r="AB3" s="49"/>
      <c r="AC3" s="49"/>
      <c r="AH3" s="49" t="s">
        <v>371</v>
      </c>
      <c r="AI3" s="49"/>
      <c r="AK3" s="49"/>
      <c r="AL3" s="49"/>
      <c r="AU3" s="49" t="s">
        <v>371</v>
      </c>
      <c r="AV3" s="49"/>
      <c r="AX3" s="49"/>
      <c r="AY3" s="49"/>
    </row>
    <row r="4">
      <c r="A4">
        <v>2</v>
      </c>
      <c r="B4">
        <v>2010</v>
      </c>
      <c r="C4" s="100">
        <v>7.2570899999999998</v>
      </c>
      <c r="D4" s="100">
        <v>4.43757</v>
      </c>
      <c r="E4" s="100">
        <v>8.5477600000000002</v>
      </c>
      <c r="G4" t="s">
        <v>373</v>
      </c>
      <c r="H4" t="e">
        <f>SQRT(H5)</f>
        <v>#NAME?</v>
      </c>
      <c r="J4" t="s">
        <v>374</v>
      </c>
      <c r="K4" t="e">
        <f>H8*LN(I13/H8)+2*(H12+1)</f>
        <v>#NAME?</v>
      </c>
      <c r="P4">
        <f t="shared" si="1874"/>
        <v>2</v>
      </c>
      <c r="Q4">
        <f t="shared" si="1875"/>
        <v>8.2844250000000006</v>
      </c>
      <c r="R4">
        <f t="shared" si="1876"/>
        <v>4.415565</v>
      </c>
      <c r="S4">
        <f t="shared" si="1877"/>
        <v>8.1726749999999999</v>
      </c>
      <c r="U4" t="e">
        <v>#NAME?</v>
      </c>
      <c r="V4" t="e">
        <v>#NAME?</v>
      </c>
      <c r="W4" t="e">
        <v>#NAME?</v>
      </c>
      <c r="Y4" t="s">
        <v>373</v>
      </c>
      <c r="Z4" t="e">
        <f>SQRT(Z5)</f>
        <v>#NAME?</v>
      </c>
      <c r="AB4" t="s">
        <v>374</v>
      </c>
      <c r="AC4" t="e">
        <f>Z8*LN(AA13/Z8)+2*Z12</f>
        <v>#NAME?</v>
      </c>
      <c r="AH4" t="s">
        <v>373</v>
      </c>
      <c r="AI4" t="e">
        <f>SQRT(AI5)</f>
        <v>#NAME?</v>
      </c>
      <c r="AK4" t="s">
        <v>374</v>
      </c>
      <c r="AL4" t="e">
        <f>AI8*LN(AJ13/AI8)+2*AI12</f>
        <v>#NAME?</v>
      </c>
      <c r="AU4" t="s">
        <v>373</v>
      </c>
      <c r="AV4" t="e">
        <f>SQRT(AV5)</f>
        <v>#VALUE!</v>
      </c>
      <c r="AX4" t="s">
        <v>374</v>
      </c>
      <c r="AY4" t="e">
        <f>AV8*LN(AW13/AV8)+2*AV12</f>
        <v>#VALUE!</v>
      </c>
    </row>
    <row r="5">
      <c r="A5">
        <v>2</v>
      </c>
      <c r="B5">
        <v>2012</v>
      </c>
      <c r="C5" s="100">
        <v>9.3117599999999996</v>
      </c>
      <c r="D5" s="100">
        <v>4.3935599999999999</v>
      </c>
      <c r="E5" s="100">
        <v>7.7975899999999987</v>
      </c>
      <c r="G5" t="s">
        <v>375</v>
      </c>
      <c r="H5" t="e">
        <f>I12/I14</f>
        <v>#NAME?</v>
      </c>
      <c r="J5" t="s">
        <v>376</v>
      </c>
      <c r="K5" t="e">
        <f>K4+2*(H12+2)*(H12+3)/(H8-H12-3)</f>
        <v>#NAME?</v>
      </c>
      <c r="P5" t="str">
        <f t="shared" si="1874"/>
        <v/>
      </c>
      <c r="Q5" t="str">
        <f t="shared" si="1875"/>
        <v/>
      </c>
      <c r="R5" t="str">
        <f t="shared" si="1876"/>
        <v/>
      </c>
      <c r="S5" t="str">
        <f t="shared" si="1877"/>
        <v/>
      </c>
      <c r="U5" t="e">
        <v>#NAME?</v>
      </c>
      <c r="V5" t="e">
        <v>#NAME?</v>
      </c>
      <c r="W5" t="e">
        <v>#NAME?</v>
      </c>
      <c r="Y5" t="s">
        <v>375</v>
      </c>
      <c r="Z5" t="e">
        <f>AA12/AA14</f>
        <v>#NAME?</v>
      </c>
      <c r="AB5" t="s">
        <v>376</v>
      </c>
      <c r="AC5" t="e">
        <f>AC4+2*(Z12+1)*(Z12+2)/(Z8-Z12-2)</f>
        <v>#NAME?</v>
      </c>
      <c r="AH5" t="s">
        <v>375</v>
      </c>
      <c r="AI5" t="e">
        <f>AJ12/AJ14</f>
        <v>#NAME?</v>
      </c>
      <c r="AK5" t="s">
        <v>376</v>
      </c>
      <c r="AL5" t="e">
        <f>AL4+2*(AI12+1)*(AI12+2)/(AI8-AI12-2)</f>
        <v>#NAME?</v>
      </c>
      <c r="AU5" t="s">
        <v>375</v>
      </c>
      <c r="AV5" t="e">
        <f>AW12/AW14</f>
        <v>#VALUE!</v>
      </c>
      <c r="AX5" t="s">
        <v>376</v>
      </c>
      <c r="AY5" t="e">
        <f>AY4+2*(AV12+1)*(AV12+2)/(AV8-AV12-2)</f>
        <v>#VALUE!</v>
      </c>
    </row>
    <row r="6">
      <c r="A6">
        <v>3</v>
      </c>
      <c r="B6">
        <v>2010</v>
      </c>
      <c r="C6" s="100">
        <v>6.5219699999999996</v>
      </c>
      <c r="D6" s="100">
        <v>4.1636499999999996</v>
      </c>
      <c r="E6" s="100">
        <v>7.4622799999999998</v>
      </c>
      <c r="G6" t="s">
        <v>378</v>
      </c>
      <c r="H6" t="e">
        <f>1-(1-H5)*(H8-1)/(H8-H12-1)</f>
        <v>#NAME?</v>
      </c>
      <c r="J6" s="14" t="s">
        <v>395</v>
      </c>
      <c r="K6" s="14" t="e">
        <f>H8*LN(I13/H8)+(H12+1)*LN(H8)</f>
        <v>#NAME?</v>
      </c>
      <c r="P6">
        <f t="shared" si="1874"/>
        <v>3</v>
      </c>
      <c r="Q6">
        <f t="shared" si="1875"/>
        <v>7.1684349999999997</v>
      </c>
      <c r="R6">
        <f t="shared" si="1876"/>
        <v>4.0619550000000002</v>
      </c>
      <c r="S6">
        <f t="shared" si="1877"/>
        <v>7.4605050000000004</v>
      </c>
      <c r="U6" t="e">
        <v>#NAME?</v>
      </c>
      <c r="V6" t="e">
        <v>#NAME?</v>
      </c>
      <c r="W6" t="e">
        <v>#NAME?</v>
      </c>
      <c r="Y6" t="s">
        <v>378</v>
      </c>
      <c r="Z6" t="e">
        <f>1-(1-Z5)*Z8/(Z8-Z12)</f>
        <v>#NAME?</v>
      </c>
      <c r="AB6" s="14" t="s">
        <v>379</v>
      </c>
      <c r="AC6" s="14" t="e">
        <f>Z8*LN(AA13/Z8)+Z12*LN(Z8)</f>
        <v>#NAME?</v>
      </c>
      <c r="AH6" t="s">
        <v>378</v>
      </c>
      <c r="AI6" t="e">
        <f>1-(1-AI5)*AI8/(AI8-AI12)</f>
        <v>#NAME?</v>
      </c>
      <c r="AK6" s="14" t="s">
        <v>379</v>
      </c>
      <c r="AL6" s="14" t="e">
        <f>AI8*LN(AJ13/AI8)+AI12*LN(AI8)</f>
        <v>#NAME?</v>
      </c>
      <c r="AU6" t="s">
        <v>378</v>
      </c>
      <c r="AV6" t="e">
        <f>1-(1-AV5)*AV8/(AV8-AV12)</f>
        <v>#VALUE!</v>
      </c>
      <c r="AX6" s="14" t="s">
        <v>379</v>
      </c>
      <c r="AY6" s="14" t="e">
        <f>AV8*LN(AW13/AV8)+AV12*LN(AV8)</f>
        <v>#VALUE!</v>
      </c>
    </row>
    <row r="7">
      <c r="A7">
        <v>3</v>
      </c>
      <c r="B7">
        <v>2012</v>
      </c>
      <c r="C7" s="100">
        <v>7.8148999999999988</v>
      </c>
      <c r="D7" s="100">
        <v>3.9602599999999999</v>
      </c>
      <c r="E7" s="100">
        <v>7.4587300000000001</v>
      </c>
      <c r="G7" t="s">
        <v>381</v>
      </c>
      <c r="H7" t="e">
        <f>SQRT(J13)</f>
        <v>#NAME?</v>
      </c>
      <c r="P7" t="str">
        <f t="shared" si="1874"/>
        <v/>
      </c>
      <c r="Q7" t="str">
        <f t="shared" si="1875"/>
        <v/>
      </c>
      <c r="R7" t="str">
        <f t="shared" si="1876"/>
        <v/>
      </c>
      <c r="S7" t="str">
        <f t="shared" si="1877"/>
        <v/>
      </c>
      <c r="U7" t="e">
        <v>#NAME?</v>
      </c>
      <c r="V7" t="e">
        <v>#NAME?</v>
      </c>
      <c r="W7" t="e">
        <v>#NAME?</v>
      </c>
      <c r="Y7" t="s">
        <v>381</v>
      </c>
      <c r="Z7" t="e">
        <f>SQRT(AB13)</f>
        <v>#NAME?</v>
      </c>
      <c r="AH7" t="s">
        <v>381</v>
      </c>
      <c r="AI7" t="e">
        <f>SQRT(AK13)</f>
        <v>#NAME?</v>
      </c>
      <c r="AU7" t="s">
        <v>381</v>
      </c>
      <c r="AV7" t="e">
        <f>SQRT(AX13)</f>
        <v>#VALUE!</v>
      </c>
    </row>
    <row r="8">
      <c r="A8">
        <v>4</v>
      </c>
      <c r="B8">
        <v>2010</v>
      </c>
      <c r="C8" s="100">
        <v>9.2680000000000007</v>
      </c>
      <c r="D8" s="100">
        <v>4.5826599999999997</v>
      </c>
      <c r="E8" s="100">
        <v>8.7930200000000003</v>
      </c>
      <c r="G8" s="14" t="s">
        <v>383</v>
      </c>
      <c r="H8" s="14">
        <f>COUNT(E2:E17)</f>
        <v>16</v>
      </c>
      <c r="P8">
        <f t="shared" si="1874"/>
        <v>4</v>
      </c>
      <c r="Q8">
        <f t="shared" si="1875"/>
        <v>8.8037200000000002</v>
      </c>
      <c r="R8">
        <f t="shared" si="1876"/>
        <v>4.452655</v>
      </c>
      <c r="S8">
        <f t="shared" si="1877"/>
        <v>8.9130249999999993</v>
      </c>
      <c r="U8" t="e">
        <v>#NAME?</v>
      </c>
      <c r="V8" t="e">
        <v>#NAME?</v>
      </c>
      <c r="W8" t="e">
        <v>#NAME?</v>
      </c>
      <c r="Y8" s="14" t="s">
        <v>383</v>
      </c>
      <c r="Z8" s="14">
        <f>COUNT(W2:W17)-AC8</f>
        <v>-8</v>
      </c>
      <c r="AB8" s="26" t="s">
        <v>673</v>
      </c>
      <c r="AC8" s="26">
        <v>8</v>
      </c>
      <c r="AH8" s="14" t="s">
        <v>383</v>
      </c>
      <c r="AI8" s="14">
        <f>COUNT(W2:W17)</f>
        <v>0</v>
      </c>
      <c r="AU8" s="14" t="s">
        <v>383</v>
      </c>
      <c r="AV8" s="14">
        <f>COUNT(AS2:AS9)</f>
        <v>0</v>
      </c>
    </row>
    <row r="9">
      <c r="A9">
        <v>4</v>
      </c>
      <c r="B9">
        <v>2012</v>
      </c>
      <c r="C9" s="100">
        <v>8.339439999999998</v>
      </c>
      <c r="D9" s="100">
        <v>4.3226500000000003</v>
      </c>
      <c r="E9" s="100">
        <v>9.0330300000000001</v>
      </c>
      <c r="P9" t="str">
        <f t="shared" si="1874"/>
        <v/>
      </c>
      <c r="Q9" t="str">
        <f>IF($B9=2010,AVERAGE(C9:C10),"")</f>
        <v/>
      </c>
      <c r="R9" t="str">
        <f>IF($B9=2010,AVERAGE(D9:D10),"")</f>
        <v/>
      </c>
      <c r="S9" t="str">
        <f>IF($B9=2010,AVERAGE(E9:E10),"")</f>
        <v/>
      </c>
      <c r="U9" t="e">
        <v>#NAME?</v>
      </c>
      <c r="V9" t="e">
        <v>#NAME?</v>
      </c>
      <c r="W9" t="e">
        <v>#NAME?</v>
      </c>
      <c r="AQ9" s="14"/>
      <c r="AR9" s="14"/>
      <c r="AS9" s="14"/>
    </row>
    <row r="10">
      <c r="A10">
        <v>5</v>
      </c>
      <c r="B10">
        <v>2010</v>
      </c>
      <c r="C10" s="100">
        <v>8.0331600000000005</v>
      </c>
      <c r="D10" s="100">
        <v>5.3003099999999996</v>
      </c>
      <c r="E10" s="100">
        <v>3.9876100000000001</v>
      </c>
      <c r="G10" t="s">
        <v>384</v>
      </c>
      <c r="K10" s="15" t="s">
        <v>385</v>
      </c>
      <c r="L10" s="15">
        <v>5.0000000000000003e-02</v>
      </c>
      <c r="P10">
        <f t="shared" ref="P10:P17" si="1878">IF(B10=2010,A10,"")</f>
        <v>5</v>
      </c>
      <c r="Q10">
        <f t="shared" ref="Q10:Q17" si="1879">IF($B10=2010,AVERAGE(C10:C11),"")</f>
        <v>8.11355</v>
      </c>
      <c r="R10">
        <f t="shared" ref="R10:R17" si="1880">IF($B10=2010,AVERAGE(D10:D11),"")</f>
        <v>5.3701249999999998</v>
      </c>
      <c r="S10">
        <f t="shared" ref="S10:S17" si="1881">IF($B10=2010,AVERAGE(E10:E11),"")</f>
        <v>3.9744999999999999</v>
      </c>
      <c r="U10" t="e">
        <v>#NAME?</v>
      </c>
      <c r="V10" t="e">
        <v>#NAME?</v>
      </c>
      <c r="W10" t="e">
        <v>#NAME?</v>
      </c>
      <c r="Y10" t="s">
        <v>384</v>
      </c>
      <c r="AC10" s="15" t="s">
        <v>385</v>
      </c>
      <c r="AD10" s="15">
        <v>5.0000000000000003e-02</v>
      </c>
      <c r="AH10" t="s">
        <v>384</v>
      </c>
      <c r="AL10" s="15" t="s">
        <v>385</v>
      </c>
      <c r="AM10" s="15">
        <v>5.0000000000000003e-02</v>
      </c>
      <c r="AU10" t="s">
        <v>384</v>
      </c>
      <c r="AY10" s="15" t="s">
        <v>385</v>
      </c>
      <c r="AZ10" s="15">
        <v>5.0000000000000003e-02</v>
      </c>
    </row>
    <row r="11">
      <c r="A11">
        <v>5</v>
      </c>
      <c r="B11">
        <v>2012</v>
      </c>
      <c r="C11" s="100">
        <v>8.1939399999999978</v>
      </c>
      <c r="D11" s="100">
        <v>5.43994</v>
      </c>
      <c r="E11" s="100">
        <v>3.9613900000000002</v>
      </c>
      <c r="G11" s="24"/>
      <c r="H11" s="24" t="s">
        <v>294</v>
      </c>
      <c r="I11" s="24" t="s">
        <v>386</v>
      </c>
      <c r="J11" s="24" t="s">
        <v>387</v>
      </c>
      <c r="K11" s="24" t="s">
        <v>388</v>
      </c>
      <c r="L11" s="24" t="s">
        <v>189</v>
      </c>
      <c r="M11" s="24" t="s">
        <v>204</v>
      </c>
      <c r="P11" t="str">
        <f t="shared" si="1878"/>
        <v/>
      </c>
      <c r="Q11" t="str">
        <f t="shared" si="1879"/>
        <v/>
      </c>
      <c r="R11" t="str">
        <f t="shared" si="1880"/>
        <v/>
      </c>
      <c r="S11" t="str">
        <f t="shared" si="1881"/>
        <v/>
      </c>
      <c r="U11" t="e">
        <v>#NAME?</v>
      </c>
      <c r="V11" t="e">
        <v>#NAME?</v>
      </c>
      <c r="W11" t="e">
        <v>#NAME?</v>
      </c>
      <c r="Y11" s="24"/>
      <c r="Z11" s="24" t="s">
        <v>294</v>
      </c>
      <c r="AA11" s="24" t="s">
        <v>386</v>
      </c>
      <c r="AB11" s="24" t="s">
        <v>387</v>
      </c>
      <c r="AC11" s="24" t="s">
        <v>388</v>
      </c>
      <c r="AD11" s="24" t="s">
        <v>189</v>
      </c>
      <c r="AE11" s="24" t="s">
        <v>204</v>
      </c>
      <c r="AH11" s="24"/>
      <c r="AI11" s="24" t="s">
        <v>294</v>
      </c>
      <c r="AJ11" s="24" t="s">
        <v>386</v>
      </c>
      <c r="AK11" s="24" t="s">
        <v>387</v>
      </c>
      <c r="AL11" s="24" t="s">
        <v>388</v>
      </c>
      <c r="AM11" s="24" t="s">
        <v>189</v>
      </c>
      <c r="AN11" s="24" t="s">
        <v>204</v>
      </c>
      <c r="AU11" s="24"/>
      <c r="AV11" s="24" t="s">
        <v>294</v>
      </c>
      <c r="AW11" s="24" t="s">
        <v>386</v>
      </c>
      <c r="AX11" s="24" t="s">
        <v>387</v>
      </c>
      <c r="AY11" s="24" t="s">
        <v>388</v>
      </c>
      <c r="AZ11" s="24" t="s">
        <v>189</v>
      </c>
      <c r="BA11" s="24" t="s">
        <v>204</v>
      </c>
    </row>
    <row r="12">
      <c r="A12">
        <v>6</v>
      </c>
      <c r="B12">
        <v>2010</v>
      </c>
      <c r="C12" s="100">
        <v>10.104450000000002</v>
      </c>
      <c r="D12" s="100">
        <v>10.0128</v>
      </c>
      <c r="E12" s="100">
        <v>4.1316800000000002</v>
      </c>
      <c r="G12" t="s">
        <v>389</v>
      </c>
      <c r="H12">
        <f>COUNT(C2:D2)</f>
        <v>2</v>
      </c>
      <c r="I12" t="e">
        <v>#NAME?</v>
      </c>
      <c r="J12" t="e">
        <f t="shared" ref="J12:J13" si="1882">I12/H12</f>
        <v>#NAME?</v>
      </c>
      <c r="K12" t="e">
        <f>J12/J13</f>
        <v>#NAME?</v>
      </c>
      <c r="L12" t="e">
        <f>_xlfn.F.DIST.RT(K12,H12,H13)</f>
        <v>#NAME?</v>
      </c>
      <c r="M12" s="15" t="e">
        <f>IF(L12&lt;L10,"yes","no")</f>
        <v>#NAME?</v>
      </c>
      <c r="P12">
        <f t="shared" si="1878"/>
        <v>6</v>
      </c>
      <c r="Q12">
        <f t="shared" si="1879"/>
        <v>10.07896</v>
      </c>
      <c r="R12">
        <f t="shared" si="1880"/>
        <v>10.018385</v>
      </c>
      <c r="S12">
        <f t="shared" si="1881"/>
        <v>4.002815</v>
      </c>
      <c r="U12" t="e">
        <v>#NAME?</v>
      </c>
      <c r="V12" t="e">
        <v>#NAME?</v>
      </c>
      <c r="W12" t="e">
        <v>#NAME?</v>
      </c>
      <c r="Y12" t="s">
        <v>389</v>
      </c>
      <c r="Z12">
        <f>COUNT(U2:V2)</f>
        <v>0</v>
      </c>
      <c r="AA12" t="e">
        <f>SUMSQ(MMULT(U2:V17,Z17:Z18))</f>
        <v>#NAME?</v>
      </c>
      <c r="AB12" t="e">
        <f t="shared" ref="AB12:AB13" si="1883">AA12/Z12</f>
        <v>#NAME?</v>
      </c>
      <c r="AC12" t="e">
        <f>AB12/AB13</f>
        <v>#NAME?</v>
      </c>
      <c r="AD12" t="e">
        <f>_xlfn.F.DIST.RT(AC12,Z12,Z13)</f>
        <v>#NAME?</v>
      </c>
      <c r="AE12" s="15" t="e">
        <f>IF(AD12&lt;AD10,"yes","no")</f>
        <v>#NAME?</v>
      </c>
      <c r="AH12" t="s">
        <v>389</v>
      </c>
      <c r="AI12">
        <f>COUNT(U2:V2)</f>
        <v>0</v>
      </c>
      <c r="AJ12" t="e">
        <f>SUMSQ(MMULT(U2:V17,AI17:AI18))</f>
        <v>#NAME?</v>
      </c>
      <c r="AK12" t="e">
        <f t="shared" ref="AK12:AK13" si="1884">AJ12/AI12</f>
        <v>#NAME?</v>
      </c>
      <c r="AL12" t="e">
        <f>AK12/AK13</f>
        <v>#NAME?</v>
      </c>
      <c r="AM12" t="e">
        <f>_xlfn.F.DIST.RT(AL12,AI12,AI13)</f>
        <v>#NAME?</v>
      </c>
      <c r="AN12" s="15" t="e">
        <f>IF(AM12&lt;AM10,"yes","no")</f>
        <v>#NAME?</v>
      </c>
      <c r="AU12" t="s">
        <v>389</v>
      </c>
      <c r="AV12">
        <f>COUNT(AQ2:AR2)</f>
        <v>0</v>
      </c>
      <c r="AW12" t="e">
        <f>SUMSQ(MMULT(AQ2:AR9,AV17:AV18))</f>
        <v>#VALUE!</v>
      </c>
      <c r="AX12" t="e">
        <f t="shared" ref="AX12:AX13" si="1885">AW12/AV12</f>
        <v>#VALUE!</v>
      </c>
      <c r="AY12" t="e">
        <f>AX12/AX13</f>
        <v>#VALUE!</v>
      </c>
      <c r="AZ12" t="e">
        <f>_xlfn.F.DIST.RT(AY12,AV12,AV13)</f>
        <v>#VALUE!</v>
      </c>
      <c r="BA12" s="15" t="e">
        <f>IF(AZ12&lt;AZ10,"yes","no")</f>
        <v>#VALUE!</v>
      </c>
    </row>
    <row r="13">
      <c r="A13">
        <v>6</v>
      </c>
      <c r="B13">
        <v>2012</v>
      </c>
      <c r="C13" s="100">
        <v>10.053470000000001</v>
      </c>
      <c r="D13" s="100">
        <v>10.02397</v>
      </c>
      <c r="E13" s="100">
        <v>3.8739499999999998</v>
      </c>
      <c r="G13" t="s">
        <v>342</v>
      </c>
      <c r="H13">
        <f>H14-H12</f>
        <v>13</v>
      </c>
      <c r="I13" t="e">
        <f>I14-I12</f>
        <v>#NAME?</v>
      </c>
      <c r="J13" t="e">
        <f t="shared" si="1882"/>
        <v>#NAME?</v>
      </c>
      <c r="P13" t="str">
        <f t="shared" si="1878"/>
        <v/>
      </c>
      <c r="Q13" t="str">
        <f t="shared" si="1879"/>
        <v/>
      </c>
      <c r="R13" t="str">
        <f t="shared" si="1880"/>
        <v/>
      </c>
      <c r="S13" t="str">
        <f t="shared" si="1881"/>
        <v/>
      </c>
      <c r="U13" t="e">
        <v>#NAME?</v>
      </c>
      <c r="V13" t="e">
        <v>#NAME?</v>
      </c>
      <c r="W13" t="e">
        <v>#NAME?</v>
      </c>
      <c r="Y13" t="s">
        <v>342</v>
      </c>
      <c r="Z13">
        <f>Z14-Z12</f>
        <v>-8</v>
      </c>
      <c r="AA13" t="e">
        <f>AA14-AA12</f>
        <v>#NAME?</v>
      </c>
      <c r="AB13" t="e">
        <f t="shared" si="1883"/>
        <v>#NAME?</v>
      </c>
      <c r="AH13" t="s">
        <v>342</v>
      </c>
      <c r="AI13">
        <f>AI14-AI12</f>
        <v>0</v>
      </c>
      <c r="AJ13" t="e">
        <f>AJ14-AJ12</f>
        <v>#NAME?</v>
      </c>
      <c r="AK13" t="e">
        <f t="shared" si="1884"/>
        <v>#NAME?</v>
      </c>
      <c r="AU13" t="s">
        <v>342</v>
      </c>
      <c r="AV13">
        <f>AV14-AV12</f>
        <v>0</v>
      </c>
      <c r="AW13" t="e">
        <f>AW14-AW12</f>
        <v>#VALUE!</v>
      </c>
      <c r="AX13" t="e">
        <f t="shared" si="1885"/>
        <v>#VALUE!</v>
      </c>
    </row>
    <row r="14">
      <c r="A14">
        <v>7</v>
      </c>
      <c r="B14">
        <v>2010</v>
      </c>
      <c r="C14" s="100">
        <v>10.749910000000002</v>
      </c>
      <c r="D14" s="100">
        <v>5.1787400000000003</v>
      </c>
      <c r="E14" s="100">
        <v>11.54217</v>
      </c>
      <c r="G14" s="14" t="s">
        <v>390</v>
      </c>
      <c r="H14" s="14">
        <f>H8-1</f>
        <v>15</v>
      </c>
      <c r="I14" s="14">
        <f>DEVSQ(E2:E17)</f>
        <v>99.944646719800005</v>
      </c>
      <c r="J14" s="14"/>
      <c r="K14" s="14"/>
      <c r="L14" s="14"/>
      <c r="M14" s="14"/>
      <c r="P14">
        <f t="shared" si="1878"/>
        <v>7</v>
      </c>
      <c r="Q14">
        <f t="shared" si="1879"/>
        <v>11.046695</v>
      </c>
      <c r="R14">
        <f t="shared" si="1880"/>
        <v>5.3003799999999996</v>
      </c>
      <c r="S14">
        <f t="shared" si="1881"/>
        <v>11.564310000000001</v>
      </c>
      <c r="U14" t="e">
        <v>#NAME?</v>
      </c>
      <c r="V14" t="e">
        <v>#NAME?</v>
      </c>
      <c r="W14" t="e">
        <v>#NAME?</v>
      </c>
      <c r="Y14" s="14" t="s">
        <v>390</v>
      </c>
      <c r="Z14" s="14">
        <f>Z8</f>
        <v>-8</v>
      </c>
      <c r="AA14" s="14" t="e">
        <f>SUMSQ(W2:W17)</f>
        <v>#NAME?</v>
      </c>
      <c r="AB14" s="14"/>
      <c r="AC14" s="14"/>
      <c r="AD14" s="14"/>
      <c r="AE14" s="14"/>
      <c r="AH14" s="14" t="s">
        <v>390</v>
      </c>
      <c r="AI14" s="14">
        <f>AI8</f>
        <v>0</v>
      </c>
      <c r="AJ14" s="14" t="e">
        <f>SUMSQ(W2:W17)</f>
        <v>#NAME?</v>
      </c>
      <c r="AK14" s="14"/>
      <c r="AL14" s="14"/>
      <c r="AM14" s="14"/>
      <c r="AN14" s="14"/>
      <c r="AU14" s="14" t="s">
        <v>390</v>
      </c>
      <c r="AV14" s="14">
        <f>AV8</f>
        <v>0</v>
      </c>
      <c r="AW14" s="14">
        <f>SUMSQ(AS2:AS9)</f>
        <v>0</v>
      </c>
      <c r="AX14" s="14"/>
      <c r="AY14" s="14"/>
      <c r="AZ14" s="14"/>
      <c r="BA14" s="14"/>
    </row>
    <row r="15">
      <c r="A15">
        <v>7</v>
      </c>
      <c r="B15">
        <v>2012</v>
      </c>
      <c r="C15" s="100">
        <v>11.34348</v>
      </c>
      <c r="D15" s="100">
        <v>5.4220199999999998</v>
      </c>
      <c r="E15" s="100">
        <v>11.586449999999999</v>
      </c>
      <c r="P15" t="str">
        <f t="shared" si="1878"/>
        <v/>
      </c>
      <c r="Q15" t="str">
        <f t="shared" si="1879"/>
        <v/>
      </c>
      <c r="R15" t="str">
        <f t="shared" si="1880"/>
        <v/>
      </c>
      <c r="S15" t="str">
        <f t="shared" si="1881"/>
        <v/>
      </c>
      <c r="U15" t="e">
        <v>#NAME?</v>
      </c>
      <c r="V15" t="e">
        <v>#NAME?</v>
      </c>
      <c r="W15" t="e">
        <v>#NAME?</v>
      </c>
      <c r="AC15" t="s">
        <v>674</v>
      </c>
      <c r="AD15">
        <v>1</v>
      </c>
      <c r="AE15">
        <f>SQRT(1+AC8/Z13)</f>
        <v>0</v>
      </c>
    </row>
    <row r="16">
      <c r="A16">
        <v>8</v>
      </c>
      <c r="B16">
        <v>2010</v>
      </c>
      <c r="C16" s="100">
        <v>8.2970400000000009</v>
      </c>
      <c r="D16" s="100">
        <v>3.8803399999999999</v>
      </c>
      <c r="E16" s="100">
        <v>8.8770299999999978</v>
      </c>
      <c r="G16" s="24"/>
      <c r="H16" s="24" t="s">
        <v>391</v>
      </c>
      <c r="I16" s="24" t="s">
        <v>392</v>
      </c>
      <c r="J16" s="24" t="s">
        <v>393</v>
      </c>
      <c r="K16" s="24" t="s">
        <v>189</v>
      </c>
      <c r="L16" s="24" t="s">
        <v>215</v>
      </c>
      <c r="M16" s="24" t="s">
        <v>216</v>
      </c>
      <c r="N16" s="24" t="s">
        <v>397</v>
      </c>
      <c r="O16" s="25"/>
      <c r="P16">
        <f t="shared" si="1878"/>
        <v>8</v>
      </c>
      <c r="Q16">
        <f t="shared" si="1879"/>
        <v>8.3139649999999996</v>
      </c>
      <c r="R16">
        <f t="shared" si="1880"/>
        <v>3.8444950000000002</v>
      </c>
      <c r="S16">
        <f t="shared" si="1881"/>
        <v>8.8946149999999999</v>
      </c>
      <c r="U16" t="e">
        <v>#NAME?</v>
      </c>
      <c r="V16" t="e">
        <v>#NAME?</v>
      </c>
      <c r="W16" t="e">
        <v>#NAME?</v>
      </c>
      <c r="Y16" s="24"/>
      <c r="Z16" s="24" t="s">
        <v>391</v>
      </c>
      <c r="AA16" s="24" t="s">
        <v>392</v>
      </c>
      <c r="AB16" s="24" t="s">
        <v>393</v>
      </c>
      <c r="AC16" s="24" t="s">
        <v>189</v>
      </c>
      <c r="AD16" s="24" t="s">
        <v>215</v>
      </c>
      <c r="AE16" s="24" t="s">
        <v>216</v>
      </c>
      <c r="AF16" s="24" t="s">
        <v>397</v>
      </c>
      <c r="AH16" s="24"/>
      <c r="AI16" s="24" t="s">
        <v>391</v>
      </c>
      <c r="AJ16" s="24" t="s">
        <v>392</v>
      </c>
      <c r="AK16" s="24" t="s">
        <v>393</v>
      </c>
      <c r="AL16" s="24" t="s">
        <v>189</v>
      </c>
      <c r="AM16" s="24" t="s">
        <v>215</v>
      </c>
      <c r="AN16" s="24" t="s">
        <v>216</v>
      </c>
      <c r="AO16" s="24" t="s">
        <v>397</v>
      </c>
      <c r="AU16" s="24"/>
      <c r="AV16" s="24" t="s">
        <v>391</v>
      </c>
      <c r="AW16" s="24" t="s">
        <v>392</v>
      </c>
      <c r="AX16" s="24" t="s">
        <v>393</v>
      </c>
      <c r="AY16" s="24" t="s">
        <v>189</v>
      </c>
      <c r="AZ16" s="24" t="s">
        <v>215</v>
      </c>
      <c r="BA16" s="24" t="s">
        <v>216</v>
      </c>
      <c r="BB16" s="24" t="s">
        <v>397</v>
      </c>
    </row>
    <row r="17">
      <c r="A17" s="14">
        <v>8</v>
      </c>
      <c r="B17" s="14">
        <v>2012</v>
      </c>
      <c r="C17" s="103">
        <v>8.3308900000000001</v>
      </c>
      <c r="D17" s="103">
        <v>3.8086500000000001</v>
      </c>
      <c r="E17" s="103">
        <v>8.9122000000000003</v>
      </c>
      <c r="G17" t="s">
        <v>396</v>
      </c>
      <c r="H17" t="e">
        <v>#NAME?</v>
      </c>
      <c r="I17" t="e">
        <v>#NAME?</v>
      </c>
      <c r="J17" t="e">
        <f t="shared" ref="J17:J19" si="1886">H17/I17</f>
        <v>#NAME?</v>
      </c>
      <c r="K17" t="e">
        <f t="shared" ref="K17:K19" si="1887">_xlfn.T.DIST.2T(ABS(J17),$H$13)</f>
        <v>#NAME?</v>
      </c>
      <c r="L17" t="e">
        <f t="shared" ref="L17:L19" si="1888">H17-_xlfn.T.INV.2T(L$10,$H$13)*I17</f>
        <v>#NAME?</v>
      </c>
      <c r="M17" t="e">
        <f t="shared" ref="M17:M19" si="1889">H17+_xlfn.T.INV.2T(L$10,$H$13)*I17</f>
        <v>#NAME?</v>
      </c>
      <c r="P17" t="str">
        <f t="shared" si="1878"/>
        <v/>
      </c>
      <c r="Q17" t="str">
        <f t="shared" si="1879"/>
        <v/>
      </c>
      <c r="R17" t="str">
        <f t="shared" si="1880"/>
        <v/>
      </c>
      <c r="S17" t="str">
        <f t="shared" si="1881"/>
        <v/>
      </c>
      <c r="U17" s="14" t="e">
        <v>#NAME?</v>
      </c>
      <c r="V17" s="14" t="e">
        <v>#NAME?</v>
      </c>
      <c r="W17" s="14" t="e">
        <v>#NAME?</v>
      </c>
      <c r="Y17" t="e">
        <f t="array" ref="Y17:Y18">TRANSPOSE(U1:V1)</f>
        <v>#NAME?</v>
      </c>
      <c r="Z17" t="e">
        <v>#NAME?</v>
      </c>
      <c r="AA17" t="e">
        <v>#NAME?</v>
      </c>
      <c r="AB17" t="e">
        <f t="shared" ref="AB17:AB18" si="1890">Z17/AA17</f>
        <v>#NAME?</v>
      </c>
      <c r="AC17" t="e">
        <f t="shared" ref="AC17:AC18" si="1891">_xlfn.T.DIST.2T(ABS(AB17),$Z$13)</f>
        <v>#NAME?</v>
      </c>
      <c r="AD17" t="e">
        <f t="shared" ref="AD17:AD18" si="1892">Z17-_xlfn.T.INV.2T(AD$10,$Z$13)*AA17</f>
        <v>#NAME?</v>
      </c>
      <c r="AE17" t="e">
        <f t="shared" ref="AE17:AE18" si="1893">Z17+_xlfn.T.INV.2T(AD$10,$Z$13)*AA17</f>
        <v>#NAME?</v>
      </c>
      <c r="AF17" t="e">
        <v>#NAME?</v>
      </c>
      <c r="AH17" t="e">
        <f t="array" ref="AH17:AH18">TRANSPOSE(U1:V1)</f>
        <v>#NAME?</v>
      </c>
      <c r="AI17" t="e">
        <v>#NAME?</v>
      </c>
      <c r="AJ17" t="e">
        <v>#NAME?</v>
      </c>
      <c r="AK17" t="e">
        <f t="shared" ref="AK17:AK18" si="1894">AI17/AJ17</f>
        <v>#NAME?</v>
      </c>
      <c r="AL17" t="e">
        <f t="shared" ref="AL17:AL18" si="1895">_xlfn.T.DIST.2T(ABS(AK17),$AI$13)</f>
        <v>#NAME?</v>
      </c>
      <c r="AM17" t="e">
        <f t="shared" ref="AM17:AM18" si="1896">AI17-_xlfn.T.INV.2T(AM$10,$AI$13)*AJ17</f>
        <v>#NAME?</v>
      </c>
      <c r="AN17" t="e">
        <f t="shared" ref="AN17:AN18" si="1897">AI17+_xlfn.T.INV.2T(AM$10,$AI$13)*AJ17</f>
        <v>#NAME?</v>
      </c>
      <c r="AO17" t="e">
        <v>#NAME?</v>
      </c>
      <c r="AQ17" s="14"/>
      <c r="AR17" s="14"/>
      <c r="AS17" s="14"/>
      <c r="AU17" t="e">
        <f t="array" ref="AU17:AU18">TRANSPOSE(AQ1:AR1)</f>
        <v>#NAME?</v>
      </c>
      <c r="AV17" t="e">
        <v>#NAME?</v>
      </c>
      <c r="AW17" t="e">
        <v>#NAME?</v>
      </c>
      <c r="AX17" t="e">
        <f t="shared" ref="AX17:AX18" si="1898">AV17/AW17</f>
        <v>#NAME?</v>
      </c>
      <c r="AY17" t="e">
        <f t="shared" ref="AY17:AY18" si="1899">_xlfn.T.DIST.2T(ABS(AX17),$AV$13)</f>
        <v>#NAME?</v>
      </c>
      <c r="AZ17" t="e">
        <f t="shared" ref="AZ17:AZ18" si="1900">AV17-_xlfn.T.INV.2T(AZ$10,$AV$13)*AW17</f>
        <v>#NAME?</v>
      </c>
      <c r="BA17" t="e">
        <f t="shared" ref="BA17:BA18" si="1901">AV17+_xlfn.T.INV.2T(AZ$10,$AV$13)*AW17</f>
        <v>#NAME?</v>
      </c>
      <c r="BB17" t="e">
        <v>#NAME?</v>
      </c>
    </row>
    <row r="18">
      <c r="G18" t="str">
        <f t="array" ref="G18:G19">TRANSPOSE(C1:D1)</f>
        <v>lcapital</v>
      </c>
      <c r="H18" t="e">
        <v>#NAME?</v>
      </c>
      <c r="I18" t="e">
        <v>#NAME?</v>
      </c>
      <c r="J18" t="e">
        <f t="shared" si="1886"/>
        <v>#NAME?</v>
      </c>
      <c r="K18" t="e">
        <f t="shared" si="1887"/>
        <v>#NAME?</v>
      </c>
      <c r="L18" t="e">
        <f t="shared" si="1888"/>
        <v>#NAME?</v>
      </c>
      <c r="M18" t="e">
        <f t="shared" si="1889"/>
        <v>#NAME?</v>
      </c>
      <c r="N18" t="e">
        <v>#NAME?</v>
      </c>
      <c r="Y18" s="14" t="e">
        <f/>
        <v>#NAME?</v>
      </c>
      <c r="Z18" s="14" t="e">
        <v>#NAME?</v>
      </c>
      <c r="AA18" s="14" t="e">
        <v>#NAME?</v>
      </c>
      <c r="AB18" s="14" t="e">
        <f t="shared" si="1890"/>
        <v>#NAME?</v>
      </c>
      <c r="AC18" s="14" t="e">
        <f t="shared" si="1891"/>
        <v>#NAME?</v>
      </c>
      <c r="AD18" s="14" t="e">
        <f t="shared" si="1892"/>
        <v>#NAME?</v>
      </c>
      <c r="AE18" s="14" t="e">
        <f t="shared" si="1893"/>
        <v>#NAME?</v>
      </c>
      <c r="AF18" s="14" t="e">
        <v>#NAME?</v>
      </c>
      <c r="AH18" s="14" t="e">
        <f/>
        <v>#NAME?</v>
      </c>
      <c r="AI18" s="14" t="e">
        <v>#NAME?</v>
      </c>
      <c r="AJ18" s="14" t="e">
        <v>#NAME?</v>
      </c>
      <c r="AK18" s="14" t="e">
        <f t="shared" si="1894"/>
        <v>#NAME?</v>
      </c>
      <c r="AL18" s="14" t="e">
        <f t="shared" si="1895"/>
        <v>#NAME?</v>
      </c>
      <c r="AM18" s="14" t="e">
        <f t="shared" si="1896"/>
        <v>#NAME?</v>
      </c>
      <c r="AN18" s="14" t="e">
        <f t="shared" si="1897"/>
        <v>#NAME?</v>
      </c>
      <c r="AO18" s="14" t="e">
        <v>#NAME?</v>
      </c>
      <c r="AU18" s="14">
        <f/>
        <v>0</v>
      </c>
      <c r="AV18" s="14" t="e">
        <v>#NAME?</v>
      </c>
      <c r="AW18" s="14" t="e">
        <v>#NAME?</v>
      </c>
      <c r="AX18" s="14" t="e">
        <f t="shared" si="1898"/>
        <v>#NAME?</v>
      </c>
      <c r="AY18" s="14" t="e">
        <f t="shared" si="1899"/>
        <v>#NAME?</v>
      </c>
      <c r="AZ18" s="14" t="e">
        <f t="shared" si="1900"/>
        <v>#NAME?</v>
      </c>
      <c r="BA18" s="14" t="e">
        <f t="shared" si="1901"/>
        <v>#NAME?</v>
      </c>
      <c r="BB18" s="14" t="e">
        <v>#NAME?</v>
      </c>
    </row>
    <row r="19">
      <c r="G19" s="14" t="str">
        <f/>
        <v>llabor</v>
      </c>
      <c r="H19" s="14" t="e">
        <v>#NAME?</v>
      </c>
      <c r="I19" s="14" t="e">
        <v>#NAME?</v>
      </c>
      <c r="J19" s="14" t="e">
        <f t="shared" si="1886"/>
        <v>#NAME?</v>
      </c>
      <c r="K19" s="14" t="e">
        <f t="shared" si="1887"/>
        <v>#NAME?</v>
      </c>
      <c r="L19" s="14" t="e">
        <f t="shared" si="1888"/>
        <v>#NAME?</v>
      </c>
      <c r="M19" s="14" t="e">
        <f t="shared" si="1889"/>
        <v>#NAME?</v>
      </c>
      <c r="N19" s="14" t="e">
        <v>#NAME?</v>
      </c>
      <c r="Q19" s="14" t="e">
        <v>#NAME?</v>
      </c>
      <c r="R19" s="14"/>
      <c r="S19" s="14"/>
    </row>
    <row r="27">
      <c r="Q27" s="14"/>
      <c r="R27" s="14"/>
      <c r="S27" s="14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10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90" workbookViewId="0">
      <selection activeCell="S1" activeCellId="0" sqref="S1"/>
    </sheetView>
  </sheetViews>
  <sheetFormatPr defaultRowHeight="14.25"/>
  <cols>
    <col customWidth="1" min="1" max="2" width="6.0892860000000004"/>
    <col customWidth="1" min="3" max="5" style="100" width="8.7232140000000005"/>
    <col customWidth="1" hidden="1" min="6" max="6" width="4.6339290000000002"/>
    <col customWidth="1" hidden="1" min="7" max="7" width="15.723214"/>
    <col hidden="1" min="8" max="14" width="8.6696430000000007"/>
    <col customWidth="1" min="15" max="15" width="4.6339290000000002"/>
    <col customWidth="1" min="19" max="19" width="4.6339290000000002"/>
    <col customWidth="1" min="23" max="23" width="4.6339290000000002"/>
    <col customWidth="1" min="24" max="24" width="15.723214"/>
  </cols>
  <sheetData>
    <row r="1">
      <c r="A1" s="32" t="s">
        <v>667</v>
      </c>
      <c r="B1" s="32" t="s">
        <v>616</v>
      </c>
      <c r="C1" s="102" t="s">
        <v>668</v>
      </c>
      <c r="D1" s="102" t="s">
        <v>669</v>
      </c>
      <c r="E1" s="102" t="s">
        <v>670</v>
      </c>
      <c r="G1" t="s">
        <v>369</v>
      </c>
      <c r="P1" s="32" t="s">
        <v>668</v>
      </c>
      <c r="Q1" s="32" t="s">
        <v>669</v>
      </c>
      <c r="R1" s="32" t="s">
        <v>670</v>
      </c>
      <c r="T1" s="32" t="e">
        <v>#NAME?</v>
      </c>
      <c r="U1" s="32" t="e">
        <v>#NAME?</v>
      </c>
      <c r="V1" s="32" t="e">
        <v>#NAME?</v>
      </c>
      <c r="X1" t="s">
        <v>671</v>
      </c>
      <c r="AG1" s="14" t="e">
        <v>#NAME?</v>
      </c>
      <c r="AH1" s="14" t="e">
        <v>#NAME?</v>
      </c>
      <c r="AI1" s="14" t="e">
        <v>#NAME?</v>
      </c>
      <c r="AK1" t="s">
        <v>672</v>
      </c>
      <c r="AT1" t="s">
        <v>369</v>
      </c>
    </row>
    <row r="2">
      <c r="A2" s="31">
        <v>1</v>
      </c>
      <c r="B2" s="31">
        <v>2008</v>
      </c>
      <c r="C2" s="104">
        <v>8.9138500000000001</v>
      </c>
      <c r="D2" s="104">
        <v>3.1783199999999998</v>
      </c>
      <c r="E2" s="104">
        <v>9.5985499999999995</v>
      </c>
      <c r="P2">
        <f t="shared" ref="P2:P8" si="1902">IF($B2&lt;&gt;2012,C2-C3,"")</f>
        <v>-1.6650000000000002e-02</v>
      </c>
      <c r="Q2">
        <f t="shared" ref="Q2:Q8" si="1903">IF($B2&lt;&gt;2012,D2-D3,"")</f>
        <v>-0.30481000000000003</v>
      </c>
      <c r="R2">
        <f t="shared" ref="R2:R8" si="1904">IF($B2&lt;&gt;2012,E2-E3,"")</f>
        <v>-0.106210000000001</v>
      </c>
      <c r="T2" t="e">
        <v>#NAME?</v>
      </c>
      <c r="U2" t="e">
        <v>#NAME?</v>
      </c>
      <c r="V2" t="e">
        <v>#NAME?</v>
      </c>
      <c r="AG2" t="e">
        <v>#NAME?</v>
      </c>
      <c r="AH2" t="e">
        <v>#NAME?</v>
      </c>
      <c r="AI2" t="e">
        <v>#NAME?</v>
      </c>
    </row>
    <row r="3">
      <c r="A3">
        <v>1</v>
      </c>
      <c r="B3">
        <v>2010</v>
      </c>
      <c r="C3" s="100">
        <v>8.9305000000000003</v>
      </c>
      <c r="D3" s="100">
        <v>3.4831300000000001</v>
      </c>
      <c r="E3" s="100">
        <v>9.7047600000000003</v>
      </c>
      <c r="G3" s="49" t="s">
        <v>371</v>
      </c>
      <c r="H3" s="49"/>
      <c r="J3" s="49"/>
      <c r="K3" s="49"/>
      <c r="P3">
        <f t="shared" si="1902"/>
        <v>-8.4599999999999995e-02</v>
      </c>
      <c r="Q3">
        <f t="shared" si="1903"/>
        <v>-0.35193999999999998</v>
      </c>
      <c r="R3">
        <f t="shared" si="1904"/>
        <v>-0.13838999999999901</v>
      </c>
      <c r="T3" t="e">
        <v>#NAME?</v>
      </c>
      <c r="U3" t="e">
        <v>#NAME?</v>
      </c>
      <c r="V3" t="e">
        <v>#NAME?</v>
      </c>
      <c r="X3" s="49" t="s">
        <v>371</v>
      </c>
      <c r="Y3" s="49"/>
      <c r="AA3" s="49"/>
      <c r="AB3" s="49"/>
      <c r="AG3" t="e">
        <v>#NAME?</v>
      </c>
      <c r="AH3" t="e">
        <v>#NAME?</v>
      </c>
      <c r="AI3" t="e">
        <v>#NAME?</v>
      </c>
      <c r="AK3" s="49" t="s">
        <v>371</v>
      </c>
      <c r="AL3" s="49"/>
      <c r="AN3" s="49"/>
      <c r="AO3" s="49"/>
      <c r="AT3" s="49" t="s">
        <v>371</v>
      </c>
      <c r="AU3" s="49"/>
      <c r="AW3" s="49"/>
      <c r="AX3" s="49"/>
    </row>
    <row r="4">
      <c r="A4">
        <v>1</v>
      </c>
      <c r="B4">
        <v>2012</v>
      </c>
      <c r="C4" s="100">
        <v>9.0151000000000003</v>
      </c>
      <c r="D4" s="100">
        <v>3.83507</v>
      </c>
      <c r="E4" s="100">
        <v>9.8431499999999996</v>
      </c>
      <c r="G4" t="s">
        <v>373</v>
      </c>
      <c r="H4" t="e">
        <f>SQRT(H5)</f>
        <v>#NAME?</v>
      </c>
      <c r="J4" t="s">
        <v>374</v>
      </c>
      <c r="K4" t="e">
        <f>H8*LN(I13/H8)+2*(H12+1)</f>
        <v>#NAME?</v>
      </c>
      <c r="P4" t="str">
        <f t="shared" si="1902"/>
        <v/>
      </c>
      <c r="Q4" t="str">
        <f t="shared" si="1903"/>
        <v/>
      </c>
      <c r="R4" t="str">
        <f t="shared" si="1904"/>
        <v/>
      </c>
      <c r="T4" t="e">
        <v>#NAME?</v>
      </c>
      <c r="U4" t="e">
        <v>#NAME?</v>
      </c>
      <c r="V4" t="e">
        <v>#NAME?</v>
      </c>
      <c r="X4" t="s">
        <v>373</v>
      </c>
      <c r="Y4" t="e">
        <f>SQRT(Y5)</f>
        <v>#NAME?</v>
      </c>
      <c r="AA4" t="s">
        <v>374</v>
      </c>
      <c r="AB4" t="e">
        <f>Y8*LN(Z13/Y8)+2*Y12</f>
        <v>#NAME?</v>
      </c>
      <c r="AG4" t="e">
        <v>#NAME?</v>
      </c>
      <c r="AH4" t="e">
        <v>#NAME?</v>
      </c>
      <c r="AI4" t="e">
        <v>#NAME?</v>
      </c>
      <c r="AK4" t="s">
        <v>373</v>
      </c>
      <c r="AL4" t="e">
        <f>SQRT(AL5)</f>
        <v>#NAME?</v>
      </c>
      <c r="AN4" t="s">
        <v>374</v>
      </c>
      <c r="AO4" t="e">
        <f>AL8*LN(AM13/AL8)+2*AL12</f>
        <v>#NAME?</v>
      </c>
      <c r="AT4" t="s">
        <v>373</v>
      </c>
      <c r="AU4" t="e">
        <f>SQRT(AU5)</f>
        <v>#NAME?</v>
      </c>
      <c r="AW4" t="s">
        <v>374</v>
      </c>
      <c r="AX4" t="e">
        <f>AU8*LN(AV13/AU8)+2*AU12</f>
        <v>#NAME?</v>
      </c>
    </row>
    <row r="5">
      <c r="A5">
        <v>2</v>
      </c>
      <c r="B5">
        <v>2008</v>
      </c>
      <c r="C5" s="100">
        <v>7.7774000000000001</v>
      </c>
      <c r="D5" s="100">
        <v>4.2269300000000003</v>
      </c>
      <c r="E5" s="100">
        <v>8.1265400000000003</v>
      </c>
      <c r="G5" t="s">
        <v>375</v>
      </c>
      <c r="H5" t="e">
        <f>I12/I14</f>
        <v>#NAME?</v>
      </c>
      <c r="J5" t="s">
        <v>376</v>
      </c>
      <c r="K5" t="e">
        <f>K4+2*(H12+2)*(H12+3)/(H8-H12-3)</f>
        <v>#NAME?</v>
      </c>
      <c r="P5">
        <f t="shared" si="1902"/>
        <v>0.52031000000000005</v>
      </c>
      <c r="Q5">
        <f t="shared" si="1903"/>
        <v>-0.21063999999999999</v>
      </c>
      <c r="R5">
        <f t="shared" si="1904"/>
        <v>-0.42122000000000004</v>
      </c>
      <c r="T5" t="e">
        <v>#NAME?</v>
      </c>
      <c r="U5" t="e">
        <v>#NAME?</v>
      </c>
      <c r="V5" t="e">
        <v>#NAME?</v>
      </c>
      <c r="X5" t="s">
        <v>375</v>
      </c>
      <c r="Y5" t="e">
        <f>Z12/Z14</f>
        <v>#NAME?</v>
      </c>
      <c r="AA5" t="s">
        <v>376</v>
      </c>
      <c r="AB5" t="e">
        <f>AB4+2*(Y12+1)*(Y12+2)/(Y8-Y12-2)</f>
        <v>#NAME?</v>
      </c>
      <c r="AG5" t="e">
        <v>#NAME?</v>
      </c>
      <c r="AH5" t="e">
        <v>#NAME?</v>
      </c>
      <c r="AI5" t="e">
        <v>#NAME?</v>
      </c>
      <c r="AK5" t="s">
        <v>375</v>
      </c>
      <c r="AL5" t="e">
        <f>AM12/AM14</f>
        <v>#NAME?</v>
      </c>
      <c r="AN5" t="s">
        <v>376</v>
      </c>
      <c r="AO5" t="e">
        <f>AO4+2*(AL12+1)*(AL12+2)/(AL8-AL12-2)</f>
        <v>#NAME?</v>
      </c>
      <c r="AT5" t="s">
        <v>375</v>
      </c>
      <c r="AU5" t="e">
        <f>AV12/AV14</f>
        <v>#NAME?</v>
      </c>
      <c r="AW5" t="s">
        <v>376</v>
      </c>
      <c r="AX5" t="e">
        <f>AX4+2*(AU12+1)*(AU12+2)/(AU8-AU12-2)</f>
        <v>#NAME?</v>
      </c>
    </row>
    <row r="6">
      <c r="A6">
        <v>2</v>
      </c>
      <c r="B6">
        <v>2010</v>
      </c>
      <c r="C6" s="100">
        <v>7.2570899999999998</v>
      </c>
      <c r="D6" s="100">
        <v>4.43757</v>
      </c>
      <c r="E6" s="100">
        <v>8.5477600000000002</v>
      </c>
      <c r="G6" t="s">
        <v>378</v>
      </c>
      <c r="H6" t="e">
        <f>1-(1-H5)*(H8-1)/(H8-H12-1)</f>
        <v>#NAME?</v>
      </c>
      <c r="J6" s="14" t="s">
        <v>395</v>
      </c>
      <c r="K6" s="14" t="e">
        <f>H8*LN(I13/H8)+(H12+1)*LN(H8)</f>
        <v>#NAME?</v>
      </c>
      <c r="P6">
        <f t="shared" si="1902"/>
        <v>-2.0546700000000002</v>
      </c>
      <c r="Q6">
        <f t="shared" si="1903"/>
        <v>4.4010000000000001e-02</v>
      </c>
      <c r="R6">
        <f t="shared" si="1904"/>
        <v>0.750170000000001</v>
      </c>
      <c r="T6" t="e">
        <v>#NAME?</v>
      </c>
      <c r="U6" t="e">
        <v>#NAME?</v>
      </c>
      <c r="V6" t="e">
        <v>#NAME?</v>
      </c>
      <c r="X6" t="s">
        <v>378</v>
      </c>
      <c r="Y6" t="e">
        <f>1-(1-Y5)*Y8/(Y8-Y12)</f>
        <v>#NAME?</v>
      </c>
      <c r="AA6" s="14" t="s">
        <v>379</v>
      </c>
      <c r="AB6" s="14" t="e">
        <f>Y8*LN(Z13/Y8)+Y12*LN(Y8)</f>
        <v>#NAME?</v>
      </c>
      <c r="AG6" t="e">
        <v>#NAME?</v>
      </c>
      <c r="AH6" t="e">
        <v>#NAME?</v>
      </c>
      <c r="AI6" t="e">
        <v>#NAME?</v>
      </c>
      <c r="AK6" t="s">
        <v>378</v>
      </c>
      <c r="AL6" t="e">
        <f>1-(1-AL5)*AL8/(AL8-AL12)</f>
        <v>#NAME?</v>
      </c>
      <c r="AN6" s="14" t="s">
        <v>379</v>
      </c>
      <c r="AO6" s="14" t="e">
        <f>AL8*LN(AM13/AL8)+AL12*LN(AL8)</f>
        <v>#NAME?</v>
      </c>
      <c r="AT6" t="s">
        <v>378</v>
      </c>
      <c r="AU6" t="e">
        <f>1-(1-AU5)*AU8/(AU8-AU12)</f>
        <v>#NAME?</v>
      </c>
      <c r="AW6" s="14" t="s">
        <v>379</v>
      </c>
      <c r="AX6" s="14" t="e">
        <f>AU8*LN(AV13/AU8)+AU12*LN(AU8)</f>
        <v>#NAME?</v>
      </c>
    </row>
    <row r="7">
      <c r="A7">
        <v>2</v>
      </c>
      <c r="B7">
        <v>2012</v>
      </c>
      <c r="C7" s="100">
        <v>9.3117599999999996</v>
      </c>
      <c r="D7" s="100">
        <v>4.3935599999999999</v>
      </c>
      <c r="E7" s="100">
        <v>7.7975899999999987</v>
      </c>
      <c r="G7" t="s">
        <v>381</v>
      </c>
      <c r="H7" t="e">
        <f>SQRT(J13)</f>
        <v>#NAME?</v>
      </c>
      <c r="P7" t="str">
        <f t="shared" si="1902"/>
        <v/>
      </c>
      <c r="Q7" t="str">
        <f t="shared" si="1903"/>
        <v/>
      </c>
      <c r="R7" t="str">
        <f t="shared" si="1904"/>
        <v/>
      </c>
      <c r="T7" t="e">
        <v>#NAME?</v>
      </c>
      <c r="U7" t="e">
        <v>#NAME?</v>
      </c>
      <c r="V7" t="e">
        <v>#NAME?</v>
      </c>
      <c r="X7" t="s">
        <v>381</v>
      </c>
      <c r="Y7" t="e">
        <f>SQRT(AA13)</f>
        <v>#NAME?</v>
      </c>
      <c r="AG7" t="e">
        <v>#NAME?</v>
      </c>
      <c r="AH7" t="e">
        <v>#NAME?</v>
      </c>
      <c r="AI7" t="e">
        <v>#NAME?</v>
      </c>
      <c r="AK7" t="s">
        <v>381</v>
      </c>
      <c r="AL7" t="e">
        <f>SQRT(AN13)</f>
        <v>#NAME?</v>
      </c>
      <c r="AT7" t="s">
        <v>381</v>
      </c>
      <c r="AU7" t="e">
        <f>SQRT(AW13)</f>
        <v>#NAME?</v>
      </c>
    </row>
    <row r="8">
      <c r="A8">
        <v>3</v>
      </c>
      <c r="B8">
        <v>2008</v>
      </c>
      <c r="C8" s="100">
        <v>5.54861</v>
      </c>
      <c r="D8" s="100">
        <v>4.8532000000000002</v>
      </c>
      <c r="E8" s="100">
        <v>7.3699300000000001</v>
      </c>
      <c r="G8" s="14" t="s">
        <v>383</v>
      </c>
      <c r="H8" s="14">
        <f>COUNT(E2:E25)</f>
        <v>24</v>
      </c>
      <c r="P8">
        <f t="shared" si="1902"/>
        <v>-0.97335999999999989</v>
      </c>
      <c r="Q8">
        <f t="shared" si="1903"/>
        <v>0.689550000000001</v>
      </c>
      <c r="R8">
        <f t="shared" si="1904"/>
        <v>-9.2349999999999988e-02</v>
      </c>
      <c r="T8" t="e">
        <v>#NAME?</v>
      </c>
      <c r="U8" t="e">
        <v>#NAME?</v>
      </c>
      <c r="V8" t="e">
        <v>#NAME?</v>
      </c>
      <c r="X8" s="14" t="s">
        <v>383</v>
      </c>
      <c r="Y8" s="14">
        <f>COUNT(V2:V17)</f>
        <v>0</v>
      </c>
      <c r="AG8" t="e">
        <v>#NAME?</v>
      </c>
      <c r="AH8" t="e">
        <v>#NAME?</v>
      </c>
      <c r="AI8" t="e">
        <v>#NAME?</v>
      </c>
      <c r="AK8" s="14" t="s">
        <v>383</v>
      </c>
      <c r="AL8" s="14">
        <f>COUNT(AI2:AI25)-AO8</f>
        <v>-8</v>
      </c>
      <c r="AN8" s="26" t="s">
        <v>673</v>
      </c>
      <c r="AO8" s="26">
        <v>8</v>
      </c>
      <c r="AT8" s="14" t="s">
        <v>383</v>
      </c>
      <c r="AU8" s="14">
        <f>COUNT(AI2:AI25)</f>
        <v>0</v>
      </c>
    </row>
    <row r="9">
      <c r="A9">
        <v>3</v>
      </c>
      <c r="B9">
        <v>2010</v>
      </c>
      <c r="C9" s="100">
        <v>6.5219699999999996</v>
      </c>
      <c r="D9" s="100">
        <v>4.1636499999999996</v>
      </c>
      <c r="E9" s="100">
        <v>7.4622799999999998</v>
      </c>
      <c r="P9">
        <f>IF($B9&lt;&gt;2012,C9-C10,"")</f>
        <v>-1.2929299999999999</v>
      </c>
      <c r="Q9">
        <f>IF($B9&lt;&gt;2012,D9-D10,"")</f>
        <v>0.20339000000000002</v>
      </c>
      <c r="R9">
        <f>IF($B9&lt;&gt;2012,E9-E10,"")</f>
        <v>3.5500000000000002e-03</v>
      </c>
      <c r="T9" t="e">
        <v>#NAME?</v>
      </c>
      <c r="U9" t="e">
        <v>#NAME?</v>
      </c>
      <c r="V9" t="e">
        <v>#NAME?</v>
      </c>
      <c r="AG9" t="e">
        <v>#NAME?</v>
      </c>
      <c r="AH9" t="e">
        <v>#NAME?</v>
      </c>
      <c r="AI9" t="e">
        <v>#NAME?</v>
      </c>
    </row>
    <row r="10">
      <c r="A10">
        <v>3</v>
      </c>
      <c r="B10">
        <v>2012</v>
      </c>
      <c r="C10" s="100">
        <v>7.8148999999999988</v>
      </c>
      <c r="D10" s="100">
        <v>3.9602599999999999</v>
      </c>
      <c r="E10" s="100">
        <v>7.4587300000000001</v>
      </c>
      <c r="G10" t="s">
        <v>384</v>
      </c>
      <c r="K10" s="15" t="s">
        <v>385</v>
      </c>
      <c r="L10" s="15">
        <v>5.0000000000000003e-02</v>
      </c>
      <c r="P10" t="str">
        <f t="shared" ref="P10:P25" si="1905">IF($B10&lt;&gt;2012,C10-C11,"")</f>
        <v/>
      </c>
      <c r="Q10" t="str">
        <f t="shared" ref="Q10:Q25" si="1906">IF($B10&lt;&gt;2012,D10-D11,"")</f>
        <v/>
      </c>
      <c r="R10" t="str">
        <f t="shared" ref="R10:R25" si="1907">IF($B10&lt;&gt;2012,E10-E11,"")</f>
        <v/>
      </c>
      <c r="T10" t="e">
        <v>#NAME?</v>
      </c>
      <c r="U10" t="e">
        <v>#NAME?</v>
      </c>
      <c r="V10" t="e">
        <v>#NAME?</v>
      </c>
      <c r="X10" t="s">
        <v>384</v>
      </c>
      <c r="AB10" s="15" t="s">
        <v>385</v>
      </c>
      <c r="AC10" s="15">
        <v>5.0000000000000003e-02</v>
      </c>
      <c r="AG10" t="e">
        <v>#NAME?</v>
      </c>
      <c r="AH10" t="e">
        <v>#NAME?</v>
      </c>
      <c r="AI10" t="e">
        <v>#NAME?</v>
      </c>
      <c r="AK10" t="s">
        <v>384</v>
      </c>
      <c r="AO10" s="15" t="s">
        <v>385</v>
      </c>
      <c r="AP10" s="15">
        <v>5.0000000000000003e-02</v>
      </c>
      <c r="AT10" t="s">
        <v>384</v>
      </c>
      <c r="AX10" s="15" t="s">
        <v>385</v>
      </c>
      <c r="AY10" s="15">
        <v>5.0000000000000003e-02</v>
      </c>
    </row>
    <row r="11">
      <c r="A11">
        <v>4</v>
      </c>
      <c r="B11">
        <v>2008</v>
      </c>
      <c r="C11" s="100">
        <v>9.3600399999999997</v>
      </c>
      <c r="D11" s="100">
        <v>4.67028</v>
      </c>
      <c r="E11" s="100">
        <v>8.25901</v>
      </c>
      <c r="G11" s="24"/>
      <c r="H11" s="24" t="s">
        <v>294</v>
      </c>
      <c r="I11" s="24" t="s">
        <v>386</v>
      </c>
      <c r="J11" s="24" t="s">
        <v>387</v>
      </c>
      <c r="K11" s="24" t="s">
        <v>388</v>
      </c>
      <c r="L11" s="24" t="s">
        <v>189</v>
      </c>
      <c r="M11" s="24" t="s">
        <v>204</v>
      </c>
      <c r="P11">
        <f t="shared" si="1905"/>
        <v>9.2039999999998998e-02</v>
      </c>
      <c r="Q11">
        <f t="shared" si="1906"/>
        <v>8.7620000000000003e-02</v>
      </c>
      <c r="R11">
        <f t="shared" si="1907"/>
        <v>-0.53400999999999998</v>
      </c>
      <c r="T11" t="e">
        <v>#NAME?</v>
      </c>
      <c r="U11" t="e">
        <v>#NAME?</v>
      </c>
      <c r="V11" t="e">
        <v>#NAME?</v>
      </c>
      <c r="X11" s="24"/>
      <c r="Y11" s="24" t="s">
        <v>294</v>
      </c>
      <c r="Z11" s="24" t="s">
        <v>386</v>
      </c>
      <c r="AA11" s="24" t="s">
        <v>387</v>
      </c>
      <c r="AB11" s="24" t="s">
        <v>388</v>
      </c>
      <c r="AC11" s="24" t="s">
        <v>189</v>
      </c>
      <c r="AD11" s="24" t="s">
        <v>204</v>
      </c>
      <c r="AG11" t="e">
        <v>#NAME?</v>
      </c>
      <c r="AH11" t="e">
        <v>#NAME?</v>
      </c>
      <c r="AI11" t="e">
        <v>#NAME?</v>
      </c>
      <c r="AK11" s="24"/>
      <c r="AL11" s="24" t="s">
        <v>294</v>
      </c>
      <c r="AM11" s="24" t="s">
        <v>386</v>
      </c>
      <c r="AN11" s="24" t="s">
        <v>387</v>
      </c>
      <c r="AO11" s="24" t="s">
        <v>388</v>
      </c>
      <c r="AP11" s="24" t="s">
        <v>189</v>
      </c>
      <c r="AQ11" s="24" t="s">
        <v>204</v>
      </c>
      <c r="AT11" s="24"/>
      <c r="AU11" s="24" t="s">
        <v>294</v>
      </c>
      <c r="AV11" s="24" t="s">
        <v>386</v>
      </c>
      <c r="AW11" s="24" t="s">
        <v>387</v>
      </c>
      <c r="AX11" s="24" t="s">
        <v>388</v>
      </c>
      <c r="AY11" s="24" t="s">
        <v>189</v>
      </c>
      <c r="AZ11" s="24" t="s">
        <v>204</v>
      </c>
    </row>
    <row r="12">
      <c r="A12">
        <v>4</v>
      </c>
      <c r="B12">
        <v>2010</v>
      </c>
      <c r="C12" s="100">
        <v>9.2680000000000007</v>
      </c>
      <c r="D12" s="100">
        <v>4.5826599999999997</v>
      </c>
      <c r="E12" s="100">
        <v>8.7930200000000003</v>
      </c>
      <c r="G12" t="s">
        <v>389</v>
      </c>
      <c r="H12">
        <f>COUNT(C2:D2)</f>
        <v>2</v>
      </c>
      <c r="I12" t="e">
        <v>#NAME?</v>
      </c>
      <c r="J12" t="e">
        <f t="shared" ref="J12:J13" si="1908">I12/H12</f>
        <v>#NAME?</v>
      </c>
      <c r="K12" t="e">
        <f>J12/J13</f>
        <v>#NAME?</v>
      </c>
      <c r="L12" t="e">
        <f>_xlfn.F.DIST.RT(K12,H12,H13)</f>
        <v>#NAME?</v>
      </c>
      <c r="M12" s="15" t="e">
        <f>IF(L12&lt;L10,"yes","no")</f>
        <v>#NAME?</v>
      </c>
      <c r="P12">
        <f t="shared" si="1905"/>
        <v>0.92856000000000116</v>
      </c>
      <c r="Q12">
        <f t="shared" si="1906"/>
        <v>0.26000999999999902</v>
      </c>
      <c r="R12">
        <f t="shared" si="1907"/>
        <v>-0.24001</v>
      </c>
      <c r="T12" t="e">
        <v>#NAME?</v>
      </c>
      <c r="U12" t="e">
        <v>#NAME?</v>
      </c>
      <c r="V12" t="e">
        <v>#NAME?</v>
      </c>
      <c r="X12" t="s">
        <v>389</v>
      </c>
      <c r="Y12">
        <f>COUNT(T2:U2)</f>
        <v>0</v>
      </c>
      <c r="Z12" t="e">
        <f>SUMSQ(MMULT(T2:U17,Y17:Y18))</f>
        <v>#NAME?</v>
      </c>
      <c r="AA12" t="e">
        <f t="shared" ref="AA12:AA13" si="1909">Z12/Y12</f>
        <v>#NAME?</v>
      </c>
      <c r="AB12" t="e">
        <f>AA12/AA13</f>
        <v>#NAME?</v>
      </c>
      <c r="AC12" t="e">
        <f>_xlfn.F.DIST.RT(AB12,Y12,Y13)</f>
        <v>#NAME?</v>
      </c>
      <c r="AD12" s="15" t="e">
        <f>IF(AC12&lt;AC10,"yes","no")</f>
        <v>#NAME?</v>
      </c>
      <c r="AG12" t="e">
        <v>#NAME?</v>
      </c>
      <c r="AH12" t="e">
        <v>#NAME?</v>
      </c>
      <c r="AI12" t="e">
        <v>#NAME?</v>
      </c>
      <c r="AK12" t="s">
        <v>389</v>
      </c>
      <c r="AL12">
        <f>COUNT(AG2:AH2)</f>
        <v>0</v>
      </c>
      <c r="AM12" t="e">
        <f>SUMSQ(MMULT(AG2:AH25,AL17:AL18))</f>
        <v>#NAME?</v>
      </c>
      <c r="AN12" t="e">
        <f t="shared" ref="AN12:AN13" si="1910">AM12/AL12</f>
        <v>#NAME?</v>
      </c>
      <c r="AO12" t="e">
        <f>AN12/AN13</f>
        <v>#NAME?</v>
      </c>
      <c r="AP12" t="e">
        <f>_xlfn.F.DIST.RT(AO12,AL12,AL13)</f>
        <v>#NAME?</v>
      </c>
      <c r="AQ12" s="15" t="e">
        <f>IF(AP12&lt;AP10,"yes","no")</f>
        <v>#NAME?</v>
      </c>
      <c r="AT12" t="s">
        <v>389</v>
      </c>
      <c r="AU12">
        <f>COUNT(AG2:AH2)</f>
        <v>0</v>
      </c>
      <c r="AV12" t="e">
        <f>SUMSQ(MMULT(AG2:AH25,AU17:AU18))</f>
        <v>#NAME?</v>
      </c>
      <c r="AW12" t="e">
        <f t="shared" ref="AW12:AW13" si="1911">AV12/AU12</f>
        <v>#NAME?</v>
      </c>
      <c r="AX12" t="e">
        <f>AW12/AW13</f>
        <v>#NAME?</v>
      </c>
      <c r="AY12" t="e">
        <f>_xlfn.F.DIST.RT(AX12,AU12,AU13)</f>
        <v>#NAME?</v>
      </c>
      <c r="AZ12" s="15" t="e">
        <f>IF(AY12&lt;AY10,"yes","no")</f>
        <v>#NAME?</v>
      </c>
    </row>
    <row r="13">
      <c r="A13">
        <v>4</v>
      </c>
      <c r="B13">
        <v>2012</v>
      </c>
      <c r="C13" s="100">
        <v>8.339439999999998</v>
      </c>
      <c r="D13" s="100">
        <v>4.3226500000000003</v>
      </c>
      <c r="E13" s="100">
        <v>9.0330300000000001</v>
      </c>
      <c r="G13" t="s">
        <v>342</v>
      </c>
      <c r="H13">
        <f>H14-H12</f>
        <v>21</v>
      </c>
      <c r="I13" t="e">
        <f>I14-I12</f>
        <v>#NAME?</v>
      </c>
      <c r="J13" t="e">
        <f t="shared" si="1908"/>
        <v>#NAME?</v>
      </c>
      <c r="P13" t="str">
        <f t="shared" si="1905"/>
        <v/>
      </c>
      <c r="Q13" t="str">
        <f t="shared" si="1906"/>
        <v/>
      </c>
      <c r="R13" t="str">
        <f t="shared" si="1907"/>
        <v/>
      </c>
      <c r="T13" t="e">
        <v>#NAME?</v>
      </c>
      <c r="U13" t="e">
        <v>#NAME?</v>
      </c>
      <c r="V13" t="e">
        <v>#NAME?</v>
      </c>
      <c r="X13" t="s">
        <v>342</v>
      </c>
      <c r="Y13">
        <f>Y14-Y12</f>
        <v>0</v>
      </c>
      <c r="Z13" t="e">
        <f>Z14-Z12</f>
        <v>#NAME?</v>
      </c>
      <c r="AA13" t="e">
        <f t="shared" si="1909"/>
        <v>#NAME?</v>
      </c>
      <c r="AG13" t="e">
        <v>#NAME?</v>
      </c>
      <c r="AH13" t="e">
        <v>#NAME?</v>
      </c>
      <c r="AI13" t="e">
        <v>#NAME?</v>
      </c>
      <c r="AK13" t="s">
        <v>342</v>
      </c>
      <c r="AL13">
        <f>AL14-AL12</f>
        <v>-8</v>
      </c>
      <c r="AM13" t="e">
        <f>AM14-AM12</f>
        <v>#NAME?</v>
      </c>
      <c r="AN13" t="e">
        <f t="shared" si="1910"/>
        <v>#NAME?</v>
      </c>
      <c r="AT13" t="s">
        <v>342</v>
      </c>
      <c r="AU13">
        <f>AU14-AU12</f>
        <v>0</v>
      </c>
      <c r="AV13" t="e">
        <f>AV14-AV12</f>
        <v>#NAME?</v>
      </c>
      <c r="AW13" t="e">
        <f t="shared" si="1911"/>
        <v>#NAME?</v>
      </c>
    </row>
    <row r="14">
      <c r="A14">
        <v>5</v>
      </c>
      <c r="B14">
        <v>2008</v>
      </c>
      <c r="C14" s="100">
        <v>7.7452199999999989</v>
      </c>
      <c r="D14" s="100">
        <v>5.2744900000000001</v>
      </c>
      <c r="E14" s="100">
        <v>4.0256800000000004</v>
      </c>
      <c r="G14" s="14" t="s">
        <v>390</v>
      </c>
      <c r="H14" s="14">
        <f>H8-1</f>
        <v>23</v>
      </c>
      <c r="I14" s="14">
        <f>DEVSQ(E2:E25)</f>
        <v>144.77194581861599</v>
      </c>
      <c r="J14" s="14"/>
      <c r="K14" s="14"/>
      <c r="L14" s="14"/>
      <c r="M14" s="14"/>
      <c r="P14">
        <f t="shared" si="1905"/>
        <v>-0.28794000000000097</v>
      </c>
      <c r="Q14">
        <f t="shared" si="1906"/>
        <v>-2.5819999999999999e-02</v>
      </c>
      <c r="R14">
        <f t="shared" si="1907"/>
        <v>3.807e-02</v>
      </c>
      <c r="T14" t="e">
        <v>#NAME?</v>
      </c>
      <c r="U14" t="e">
        <v>#NAME?</v>
      </c>
      <c r="V14" t="e">
        <v>#NAME?</v>
      </c>
      <c r="X14" s="14" t="s">
        <v>390</v>
      </c>
      <c r="Y14" s="14">
        <f>Y8</f>
        <v>0</v>
      </c>
      <c r="Z14" s="14" t="e">
        <f>SUMSQ(V2:V17)</f>
        <v>#NAME?</v>
      </c>
      <c r="AA14" s="14"/>
      <c r="AB14" s="14"/>
      <c r="AC14" s="14"/>
      <c r="AD14" s="14"/>
      <c r="AG14" t="e">
        <v>#NAME?</v>
      </c>
      <c r="AH14" t="e">
        <v>#NAME?</v>
      </c>
      <c r="AI14" t="e">
        <v>#NAME?</v>
      </c>
      <c r="AK14" s="14" t="s">
        <v>390</v>
      </c>
      <c r="AL14" s="14">
        <f>AL8</f>
        <v>-8</v>
      </c>
      <c r="AM14" s="14" t="e">
        <f>SUMSQ(AI2:AI25)</f>
        <v>#NAME?</v>
      </c>
      <c r="AN14" s="14"/>
      <c r="AO14" s="14"/>
      <c r="AP14" s="14"/>
      <c r="AQ14" s="14"/>
      <c r="AT14" s="14" t="s">
        <v>390</v>
      </c>
      <c r="AU14" s="14">
        <f>AU8</f>
        <v>0</v>
      </c>
      <c r="AV14" s="14" t="e">
        <f>SUMSQ(AI2:AI25)</f>
        <v>#NAME?</v>
      </c>
      <c r="AW14" s="14"/>
      <c r="AX14" s="14"/>
      <c r="AY14" s="14"/>
      <c r="AZ14" s="14"/>
    </row>
    <row r="15">
      <c r="A15">
        <v>5</v>
      </c>
      <c r="B15">
        <v>2010</v>
      </c>
      <c r="C15" s="100">
        <v>8.0331600000000005</v>
      </c>
      <c r="D15" s="100">
        <v>5.3003099999999996</v>
      </c>
      <c r="E15" s="100">
        <v>3.9876100000000001</v>
      </c>
      <c r="P15">
        <f t="shared" si="1905"/>
        <v>-0.16077999999999901</v>
      </c>
      <c r="Q15">
        <f t="shared" si="1906"/>
        <v>-0.13963</v>
      </c>
      <c r="R15">
        <f t="shared" si="1907"/>
        <v>2.622e-02</v>
      </c>
      <c r="T15" t="e">
        <v>#NAME?</v>
      </c>
      <c r="U15" t="e">
        <v>#NAME?</v>
      </c>
      <c r="V15" t="e">
        <v>#NAME?</v>
      </c>
      <c r="AG15" t="e">
        <v>#NAME?</v>
      </c>
      <c r="AH15" t="e">
        <v>#NAME?</v>
      </c>
      <c r="AI15" t="e">
        <v>#NAME?</v>
      </c>
      <c r="AO15" t="s">
        <v>674</v>
      </c>
      <c r="AP15">
        <v>1</v>
      </c>
      <c r="AQ15">
        <f>SQRT(1+AO8/AL13)</f>
        <v>0</v>
      </c>
    </row>
    <row r="16">
      <c r="A16">
        <v>5</v>
      </c>
      <c r="B16">
        <v>2012</v>
      </c>
      <c r="C16" s="100">
        <v>8.1939399999999978</v>
      </c>
      <c r="D16" s="100">
        <v>5.43994</v>
      </c>
      <c r="E16" s="100">
        <v>3.9613900000000002</v>
      </c>
      <c r="G16" s="24"/>
      <c r="H16" s="24" t="s">
        <v>391</v>
      </c>
      <c r="I16" s="24" t="s">
        <v>392</v>
      </c>
      <c r="J16" s="24" t="s">
        <v>393</v>
      </c>
      <c r="K16" s="24" t="s">
        <v>189</v>
      </c>
      <c r="L16" s="24" t="s">
        <v>215</v>
      </c>
      <c r="M16" s="24" t="s">
        <v>216</v>
      </c>
      <c r="N16" s="24" t="s">
        <v>397</v>
      </c>
      <c r="O16" s="25"/>
      <c r="P16" t="str">
        <f t="shared" si="1905"/>
        <v/>
      </c>
      <c r="Q16" t="str">
        <f t="shared" si="1906"/>
        <v/>
      </c>
      <c r="R16" t="str">
        <f t="shared" si="1907"/>
        <v/>
      </c>
      <c r="T16" t="e">
        <v>#NAME?</v>
      </c>
      <c r="U16" t="e">
        <v>#NAME?</v>
      </c>
      <c r="V16" t="e">
        <v>#NAME?</v>
      </c>
      <c r="X16" s="24"/>
      <c r="Y16" s="24" t="s">
        <v>391</v>
      </c>
      <c r="Z16" s="24" t="s">
        <v>392</v>
      </c>
      <c r="AA16" s="24" t="s">
        <v>393</v>
      </c>
      <c r="AB16" s="24" t="s">
        <v>189</v>
      </c>
      <c r="AC16" s="24" t="s">
        <v>215</v>
      </c>
      <c r="AD16" s="24" t="s">
        <v>216</v>
      </c>
      <c r="AE16" s="24" t="s">
        <v>397</v>
      </c>
      <c r="AG16" t="e">
        <v>#NAME?</v>
      </c>
      <c r="AH16" t="e">
        <v>#NAME?</v>
      </c>
      <c r="AI16" t="e">
        <v>#NAME?</v>
      </c>
      <c r="AK16" s="24"/>
      <c r="AL16" s="24" t="s">
        <v>391</v>
      </c>
      <c r="AM16" s="24" t="s">
        <v>392</v>
      </c>
      <c r="AN16" s="24" t="s">
        <v>393</v>
      </c>
      <c r="AO16" s="24" t="s">
        <v>189</v>
      </c>
      <c r="AP16" s="24" t="s">
        <v>215</v>
      </c>
      <c r="AQ16" s="24" t="s">
        <v>216</v>
      </c>
      <c r="AR16" s="24" t="s">
        <v>397</v>
      </c>
      <c r="AT16" s="24"/>
      <c r="AU16" s="24" t="s">
        <v>391</v>
      </c>
      <c r="AV16" s="24" t="s">
        <v>392</v>
      </c>
      <c r="AW16" s="24" t="s">
        <v>393</v>
      </c>
      <c r="AX16" s="24" t="s">
        <v>189</v>
      </c>
      <c r="AY16" s="24" t="s">
        <v>215</v>
      </c>
      <c r="AZ16" s="24" t="s">
        <v>216</v>
      </c>
      <c r="BA16" s="24" t="s">
        <v>397</v>
      </c>
    </row>
    <row r="17">
      <c r="A17">
        <v>6</v>
      </c>
      <c r="B17">
        <v>2008</v>
      </c>
      <c r="C17" s="100">
        <v>9.9685299999999994</v>
      </c>
      <c r="D17" s="100">
        <v>9.5003200000000003</v>
      </c>
      <c r="E17" s="100">
        <v>4.317361</v>
      </c>
      <c r="G17" t="s">
        <v>396</v>
      </c>
      <c r="H17" t="e">
        <v>#NAME?</v>
      </c>
      <c r="I17" t="e">
        <v>#NAME?</v>
      </c>
      <c r="J17" t="e">
        <f t="shared" ref="J17:J19" si="1912">H17/I17</f>
        <v>#NAME?</v>
      </c>
      <c r="K17" t="e">
        <f t="shared" ref="K17:K19" si="1913">_xlfn.T.DIST.2T(ABS(J17),$H$13)</f>
        <v>#NAME?</v>
      </c>
      <c r="L17" t="e">
        <f t="shared" ref="L17:L19" si="1914">H17-_xlfn.T.INV.2T(L$10,$H$13)*I17</f>
        <v>#NAME?</v>
      </c>
      <c r="M17" t="e">
        <f t="shared" ref="M17:M19" si="1915">H17+_xlfn.T.INV.2T(L$10,$H$13)*I17</f>
        <v>#NAME?</v>
      </c>
      <c r="P17">
        <f t="shared" si="1905"/>
        <v>-0.13592000000000101</v>
      </c>
      <c r="Q17">
        <f t="shared" si="1906"/>
        <v>-0.51248000000000005</v>
      </c>
      <c r="R17">
        <f t="shared" si="1907"/>
        <v>0.18568100000000001</v>
      </c>
      <c r="T17" s="14" t="e">
        <v>#NAME?</v>
      </c>
      <c r="U17" s="14" t="e">
        <v>#NAME?</v>
      </c>
      <c r="V17" s="14" t="e">
        <v>#NAME?</v>
      </c>
      <c r="X17" t="e">
        <f t="array" ref="X17:X18">TRANSPOSE(T1:U1)</f>
        <v>#NAME?</v>
      </c>
      <c r="Y17" t="e">
        <v>#NAME?</v>
      </c>
      <c r="Z17" t="e">
        <v>#NAME?</v>
      </c>
      <c r="AA17" t="e">
        <f t="shared" ref="AA17:AA18" si="1916">Y17/Z17</f>
        <v>#NAME?</v>
      </c>
      <c r="AB17" t="e">
        <f t="shared" ref="AB17:AB18" si="1917">_xlfn.T.DIST.2T(ABS(AA17),$Y$13)</f>
        <v>#NAME?</v>
      </c>
      <c r="AC17" t="e">
        <f t="shared" ref="AC17:AC18" si="1918">Y17-_xlfn.T.INV.2T(AC$10,$Y$13)*Z17</f>
        <v>#NAME?</v>
      </c>
      <c r="AD17" t="e">
        <f t="shared" ref="AD17:AD18" si="1919">Y17+_xlfn.T.INV.2T(AC$10,$Y$13)*Z17</f>
        <v>#NAME?</v>
      </c>
      <c r="AE17" t="e">
        <v>#NAME?</v>
      </c>
      <c r="AG17" t="e">
        <v>#NAME?</v>
      </c>
      <c r="AH17" t="e">
        <v>#NAME?</v>
      </c>
      <c r="AI17" t="e">
        <v>#NAME?</v>
      </c>
      <c r="AK17" t="e">
        <f t="array" ref="AK17:AK18">TRANSPOSE(AG1:AH1)</f>
        <v>#NAME?</v>
      </c>
      <c r="AL17" t="e">
        <v>#NAME?</v>
      </c>
      <c r="AM17" t="e">
        <v>#NAME?</v>
      </c>
      <c r="AN17" t="e">
        <f t="shared" ref="AN17:AN18" si="1920">AL17/AM17</f>
        <v>#NAME?</v>
      </c>
      <c r="AO17" t="e">
        <f t="shared" ref="AO17:AO18" si="1921">_xlfn.T.DIST.2T(ABS(AN17),$AL$13)</f>
        <v>#NAME?</v>
      </c>
      <c r="AP17" t="e">
        <f t="shared" ref="AP17:AP18" si="1922">AL17-_xlfn.T.INV.2T(AP$10,$AL$13)*AM17</f>
        <v>#NAME?</v>
      </c>
      <c r="AQ17" t="e">
        <f t="shared" ref="AQ17:AQ18" si="1923">AL17+_xlfn.T.INV.2T(AP$10,$AL$13)*AM17</f>
        <v>#NAME?</v>
      </c>
      <c r="AR17" t="e">
        <v>#NAME?</v>
      </c>
      <c r="AT17" t="e">
        <f t="array" ref="AT17:AT18">TRANSPOSE(AG1:AH1)</f>
        <v>#NAME?</v>
      </c>
      <c r="AU17" t="e">
        <v>#NAME?</v>
      </c>
      <c r="AV17" t="e">
        <v>#NAME?</v>
      </c>
      <c r="AW17" t="e">
        <f t="shared" ref="AW17:AW18" si="1924">AU17/AV17</f>
        <v>#NAME?</v>
      </c>
      <c r="AX17" t="e">
        <f t="shared" ref="AX17:AX18" si="1925">_xlfn.T.DIST.2T(ABS(AW17),$AU$13)</f>
        <v>#NAME?</v>
      </c>
      <c r="AY17" t="e">
        <f t="shared" ref="AY17:AY18" si="1926">AU17-_xlfn.T.INV.2T(AY$10,$AU$13)*AV17</f>
        <v>#NAME?</v>
      </c>
      <c r="AZ17" t="e">
        <f t="shared" ref="AZ17:AZ18" si="1927">AU17+_xlfn.T.INV.2T(AY$10,$AU$13)*AV17</f>
        <v>#NAME?</v>
      </c>
      <c r="BA17" t="e">
        <v>#NAME?</v>
      </c>
    </row>
    <row r="18">
      <c r="A18">
        <v>6</v>
      </c>
      <c r="B18">
        <v>2010</v>
      </c>
      <c r="C18" s="100">
        <v>10.104450000000002</v>
      </c>
      <c r="D18" s="100">
        <v>10.0128</v>
      </c>
      <c r="E18" s="100">
        <v>4.1316800000000002</v>
      </c>
      <c r="G18" t="str">
        <f t="array" ref="G18:G19">TRANSPOSE(C1:D1)</f>
        <v>lcapital</v>
      </c>
      <c r="H18" t="e">
        <v>#NAME?</v>
      </c>
      <c r="I18" t="e">
        <v>#NAME?</v>
      </c>
      <c r="J18" t="e">
        <f t="shared" si="1912"/>
        <v>#NAME?</v>
      </c>
      <c r="K18" t="e">
        <f t="shared" si="1913"/>
        <v>#NAME?</v>
      </c>
      <c r="L18" t="e">
        <f t="shared" si="1914"/>
        <v>#NAME?</v>
      </c>
      <c r="M18" t="e">
        <f t="shared" si="1915"/>
        <v>#NAME?</v>
      </c>
      <c r="N18" t="e">
        <v>#NAME?</v>
      </c>
      <c r="P18">
        <f t="shared" si="1905"/>
        <v>5.0979999999999005e-02</v>
      </c>
      <c r="Q18">
        <f t="shared" si="1906"/>
        <v>-1.1169999999999999e-02</v>
      </c>
      <c r="R18">
        <f t="shared" si="1907"/>
        <v>0.25773000000000101</v>
      </c>
      <c r="X18" s="14" t="e">
        <f/>
        <v>#NAME?</v>
      </c>
      <c r="Y18" s="14" t="e">
        <v>#NAME?</v>
      </c>
      <c r="Z18" s="14" t="e">
        <v>#NAME?</v>
      </c>
      <c r="AA18" s="14" t="e">
        <f t="shared" si="1916"/>
        <v>#NAME?</v>
      </c>
      <c r="AB18" s="14" t="e">
        <f t="shared" si="1917"/>
        <v>#NAME?</v>
      </c>
      <c r="AC18" s="14" t="e">
        <f t="shared" si="1918"/>
        <v>#NAME?</v>
      </c>
      <c r="AD18" s="14" t="e">
        <f t="shared" si="1919"/>
        <v>#NAME?</v>
      </c>
      <c r="AE18" s="14" t="e">
        <v>#NAME?</v>
      </c>
      <c r="AG18" t="e">
        <v>#NAME?</v>
      </c>
      <c r="AH18" t="e">
        <v>#NAME?</v>
      </c>
      <c r="AI18" t="e">
        <v>#NAME?</v>
      </c>
      <c r="AK18" s="14" t="e">
        <f/>
        <v>#NAME?</v>
      </c>
      <c r="AL18" s="14" t="e">
        <v>#NAME?</v>
      </c>
      <c r="AM18" s="14" t="e">
        <v>#NAME?</v>
      </c>
      <c r="AN18" s="14" t="e">
        <f t="shared" si="1920"/>
        <v>#NAME?</v>
      </c>
      <c r="AO18" s="14" t="e">
        <f t="shared" si="1921"/>
        <v>#NAME?</v>
      </c>
      <c r="AP18" s="14" t="e">
        <f t="shared" si="1922"/>
        <v>#NAME?</v>
      </c>
      <c r="AQ18" s="14" t="e">
        <f t="shared" si="1923"/>
        <v>#NAME?</v>
      </c>
      <c r="AR18" s="14" t="e">
        <v>#NAME?</v>
      </c>
      <c r="AT18" s="14" t="e">
        <f/>
        <v>#NAME?</v>
      </c>
      <c r="AU18" s="14" t="e">
        <v>#NAME?</v>
      </c>
      <c r="AV18" s="14" t="e">
        <v>#NAME?</v>
      </c>
      <c r="AW18" s="14" t="e">
        <f t="shared" si="1924"/>
        <v>#NAME?</v>
      </c>
      <c r="AX18" s="14" t="e">
        <f t="shared" si="1925"/>
        <v>#NAME?</v>
      </c>
      <c r="AY18" s="14" t="e">
        <f t="shared" si="1926"/>
        <v>#NAME?</v>
      </c>
      <c r="AZ18" s="14" t="e">
        <f t="shared" si="1927"/>
        <v>#NAME?</v>
      </c>
      <c r="BA18" s="14" t="e">
        <v>#NAME?</v>
      </c>
    </row>
    <row r="19">
      <c r="A19">
        <v>6</v>
      </c>
      <c r="B19">
        <v>2012</v>
      </c>
      <c r="C19" s="100">
        <v>10.053470000000001</v>
      </c>
      <c r="D19" s="100">
        <v>10.02397</v>
      </c>
      <c r="E19" s="100">
        <v>3.8739499999999998</v>
      </c>
      <c r="G19" s="14" t="str">
        <f/>
        <v>llabor</v>
      </c>
      <c r="H19" s="14" t="e">
        <v>#NAME?</v>
      </c>
      <c r="I19" s="14" t="e">
        <v>#NAME?</v>
      </c>
      <c r="J19" s="14" t="e">
        <f t="shared" si="1912"/>
        <v>#NAME?</v>
      </c>
      <c r="K19" s="14" t="e">
        <f t="shared" si="1913"/>
        <v>#NAME?</v>
      </c>
      <c r="L19" s="14" t="e">
        <f t="shared" si="1914"/>
        <v>#NAME?</v>
      </c>
      <c r="M19" s="14" t="e">
        <f t="shared" si="1915"/>
        <v>#NAME?</v>
      </c>
      <c r="N19" s="14" t="e">
        <v>#NAME?</v>
      </c>
      <c r="P19" t="str">
        <f t="shared" si="1905"/>
        <v/>
      </c>
      <c r="Q19" t="str">
        <f t="shared" si="1906"/>
        <v/>
      </c>
      <c r="R19" t="str">
        <f t="shared" si="1907"/>
        <v/>
      </c>
      <c r="AG19" t="e">
        <v>#NAME?</v>
      </c>
      <c r="AH19" t="e">
        <v>#NAME?</v>
      </c>
      <c r="AI19" t="e">
        <v>#NAME?</v>
      </c>
    </row>
    <row r="20">
      <c r="A20">
        <v>7</v>
      </c>
      <c r="B20">
        <v>2008</v>
      </c>
      <c r="C20" s="100">
        <v>10.553680000000002</v>
      </c>
      <c r="D20" s="100">
        <v>5.0047100000000002</v>
      </c>
      <c r="E20" s="100">
        <v>11.523529999999999</v>
      </c>
      <c r="P20">
        <f t="shared" si="1905"/>
        <v>-0.19622999999999999</v>
      </c>
      <c r="Q20">
        <f t="shared" si="1906"/>
        <v>-0.17402999999999999</v>
      </c>
      <c r="R20">
        <f t="shared" si="1907"/>
        <v>-1.8640000000001e-02</v>
      </c>
      <c r="AG20" t="e">
        <v>#NAME?</v>
      </c>
      <c r="AH20" t="e">
        <v>#NAME?</v>
      </c>
      <c r="AI20" t="e">
        <v>#NAME?</v>
      </c>
    </row>
    <row r="21">
      <c r="A21">
        <v>7</v>
      </c>
      <c r="B21">
        <v>2010</v>
      </c>
      <c r="C21" s="100">
        <v>10.749910000000002</v>
      </c>
      <c r="D21" s="100">
        <v>5.1787400000000003</v>
      </c>
      <c r="E21" s="100">
        <v>11.54217</v>
      </c>
      <c r="P21">
        <f t="shared" si="1905"/>
        <v>-0.59357000000000004</v>
      </c>
      <c r="Q21">
        <f t="shared" si="1906"/>
        <v>-0.24328</v>
      </c>
      <c r="R21">
        <f t="shared" si="1907"/>
        <v>-4.4279999999998994e-02</v>
      </c>
      <c r="AG21" t="e">
        <v>#NAME?</v>
      </c>
      <c r="AH21" t="e">
        <v>#NAME?</v>
      </c>
      <c r="AI21" t="e">
        <v>#NAME?</v>
      </c>
    </row>
    <row r="22">
      <c r="A22">
        <v>7</v>
      </c>
      <c r="B22">
        <v>2012</v>
      </c>
      <c r="C22" s="100">
        <v>11.34348</v>
      </c>
      <c r="D22" s="100">
        <v>5.4220199999999998</v>
      </c>
      <c r="E22" s="100">
        <v>11.586449999999999</v>
      </c>
      <c r="P22" t="str">
        <f t="shared" si="1905"/>
        <v/>
      </c>
      <c r="Q22" t="str">
        <f t="shared" si="1906"/>
        <v/>
      </c>
      <c r="R22" t="str">
        <f t="shared" si="1907"/>
        <v/>
      </c>
      <c r="AG22" t="e">
        <v>#NAME?</v>
      </c>
      <c r="AH22" t="e">
        <v>#NAME?</v>
      </c>
      <c r="AI22" t="e">
        <v>#NAME?</v>
      </c>
    </row>
    <row r="23">
      <c r="A23">
        <v>8</v>
      </c>
      <c r="B23">
        <v>2008</v>
      </c>
      <c r="C23" s="100">
        <v>7.9739199999999988</v>
      </c>
      <c r="D23" s="100">
        <v>4.01145</v>
      </c>
      <c r="E23" s="100">
        <v>8.7066099999999977</v>
      </c>
      <c r="P23">
        <f t="shared" si="1905"/>
        <v>-0.32312000000000102</v>
      </c>
      <c r="Q23">
        <f t="shared" si="1906"/>
        <v>0.13111</v>
      </c>
      <c r="R23">
        <f t="shared" si="1907"/>
        <v>-0.17041999999999999</v>
      </c>
      <c r="AG23" t="e">
        <v>#NAME?</v>
      </c>
      <c r="AH23" t="e">
        <v>#NAME?</v>
      </c>
      <c r="AI23" t="e">
        <v>#NAME?</v>
      </c>
    </row>
    <row r="24">
      <c r="A24">
        <v>8</v>
      </c>
      <c r="B24">
        <v>2010</v>
      </c>
      <c r="C24" s="100">
        <v>8.2970400000000009</v>
      </c>
      <c r="D24" s="100">
        <v>3.8803399999999999</v>
      </c>
      <c r="E24" s="100">
        <v>8.8770299999999978</v>
      </c>
      <c r="P24">
        <f t="shared" si="1905"/>
        <v>-3.3849999999998999e-02</v>
      </c>
      <c r="Q24">
        <f t="shared" si="1906"/>
        <v>7.1690000000000004e-02</v>
      </c>
      <c r="R24">
        <f t="shared" si="1907"/>
        <v>-3.5170000000000999e-02</v>
      </c>
      <c r="AG24" t="e">
        <v>#NAME?</v>
      </c>
      <c r="AH24" t="e">
        <v>#NAME?</v>
      </c>
      <c r="AI24" t="e">
        <v>#NAME?</v>
      </c>
    </row>
    <row r="25">
      <c r="A25" s="14">
        <v>8</v>
      </c>
      <c r="B25" s="14">
        <v>2012</v>
      </c>
      <c r="C25" s="103">
        <v>8.3308900000000001</v>
      </c>
      <c r="D25" s="103">
        <v>3.8086500000000001</v>
      </c>
      <c r="E25" s="103">
        <v>8.9122000000000003</v>
      </c>
      <c r="P25" s="14" t="str">
        <f t="shared" si="1905"/>
        <v/>
      </c>
      <c r="Q25" s="14" t="str">
        <f t="shared" si="1906"/>
        <v/>
      </c>
      <c r="R25" s="14" t="str">
        <f t="shared" si="1907"/>
        <v/>
      </c>
      <c r="AG25" s="14" t="e">
        <v>#NAME?</v>
      </c>
      <c r="AH25" s="14" t="e">
        <v>#NAME?</v>
      </c>
      <c r="AI25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0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topLeftCell="C1" zoomScale="100" workbookViewId="0">
      <selection activeCell="S1" activeCellId="0" sqref="S1"/>
    </sheetView>
  </sheetViews>
  <sheetFormatPr defaultRowHeight="14.25"/>
  <cols>
    <col customWidth="1" min="1" max="2" width="5.0892860000000004"/>
    <col customWidth="1" min="3" max="5" style="100" width="8.7232140000000005"/>
    <col customWidth="1" min="6" max="6" width="4.6339290000000002"/>
    <col customWidth="1" min="10" max="11" width="4.6339290000000002"/>
    <col customWidth="1" min="15" max="15" width="4.6339290000000002"/>
    <col customWidth="1" min="16" max="17" width="5.0892860000000004"/>
    <col customWidth="1" min="21" max="21" width="4.6339290000000002"/>
    <col customWidth="1" min="22" max="22" width="16.366071000000002"/>
    <col customWidth="1" min="35" max="35" width="16"/>
  </cols>
  <sheetData>
    <row r="1">
      <c r="A1" s="17" t="s">
        <v>667</v>
      </c>
      <c r="B1" s="17" t="s">
        <v>616</v>
      </c>
      <c r="C1" s="105" t="s">
        <v>668</v>
      </c>
      <c r="D1" s="105" t="s">
        <v>669</v>
      </c>
      <c r="E1" s="105" t="s">
        <v>670</v>
      </c>
      <c r="G1" s="105" t="s">
        <v>668</v>
      </c>
      <c r="H1" s="105" t="s">
        <v>669</v>
      </c>
      <c r="I1" s="105" t="s">
        <v>670</v>
      </c>
      <c r="J1" s="15"/>
      <c r="K1" s="105" t="s">
        <v>667</v>
      </c>
      <c r="L1" s="105" t="s">
        <v>668</v>
      </c>
      <c r="M1" s="105" t="s">
        <v>669</v>
      </c>
      <c r="N1" s="105" t="s">
        <v>670</v>
      </c>
      <c r="P1" s="17" t="s">
        <v>667</v>
      </c>
      <c r="Q1" s="17" t="s">
        <v>616</v>
      </c>
      <c r="R1" s="105" t="s">
        <v>668</v>
      </c>
      <c r="S1" s="105" t="s">
        <v>669</v>
      </c>
      <c r="T1" s="105" t="s">
        <v>670</v>
      </c>
      <c r="V1" t="s">
        <v>369</v>
      </c>
      <c r="AE1" s="14" t="e">
        <v>#NAME?</v>
      </c>
      <c r="AF1" s="14" t="e">
        <v>#NAME?</v>
      </c>
      <c r="AG1" s="14" t="e">
        <v>#NAME?</v>
      </c>
      <c r="AI1" t="s">
        <v>672</v>
      </c>
    </row>
    <row r="2">
      <c r="A2" s="15">
        <v>1</v>
      </c>
      <c r="B2" s="31">
        <v>2008</v>
      </c>
      <c r="C2" s="104">
        <v>8.9138500000000001</v>
      </c>
      <c r="D2" s="104">
        <v>3.1783199999999998</v>
      </c>
      <c r="E2" s="104">
        <v>9.5985499999999995</v>
      </c>
      <c r="G2">
        <f t="shared" ref="G2:G7" si="1928">IF($B2=2008,AVERAGE(C2:C4),"")</f>
        <v>8.9531500000000008</v>
      </c>
      <c r="H2">
        <f t="shared" ref="H2:H7" si="1929">IF($B2=2008,AVERAGE(D2:D4),"")</f>
        <v>3.49884</v>
      </c>
      <c r="I2">
        <f t="shared" ref="I2:I7" si="1930">IF($B2=2008,AVERAGE(E2:E4),"")</f>
        <v>9.7154866666666706</v>
      </c>
      <c r="K2" s="15">
        <v>1</v>
      </c>
      <c r="L2" t="e">
        <v>#NAME?</v>
      </c>
      <c r="P2" s="15">
        <v>1</v>
      </c>
      <c r="Q2" s="31">
        <v>2008</v>
      </c>
      <c r="R2" s="104" t="e">
        <f t="array" ref="R2">C2-INDEX(L$2:L$9,$P2,1)</f>
        <v>#NAME?</v>
      </c>
      <c r="S2" s="104">
        <f t="array" ref="S2">D2-INDEX(M$2:M$9,$P2,1)</f>
        <v>3.1783199999999998</v>
      </c>
      <c r="T2" s="104">
        <f t="array" ref="T2">E2-INDEX(N$2:N$9,$P2,1)</f>
        <v>9.5985499999999995</v>
      </c>
      <c r="AE2" t="e">
        <v>#NAME?</v>
      </c>
      <c r="AF2" t="e">
        <v>#NAME?</v>
      </c>
      <c r="AG2" t="e">
        <v>#NAME?</v>
      </c>
    </row>
    <row r="3">
      <c r="A3" s="15">
        <v>1</v>
      </c>
      <c r="B3">
        <v>2010</v>
      </c>
      <c r="C3" s="100">
        <v>8.9305000000000003</v>
      </c>
      <c r="D3" s="100">
        <v>3.4831300000000001</v>
      </c>
      <c r="E3" s="100">
        <v>9.7047600000000003</v>
      </c>
      <c r="G3" t="str">
        <f t="shared" si="1928"/>
        <v/>
      </c>
      <c r="H3" t="str">
        <f t="shared" si="1929"/>
        <v/>
      </c>
      <c r="I3" t="str">
        <f t="shared" si="1930"/>
        <v/>
      </c>
      <c r="K3" s="15">
        <f t="shared" ref="K3:K9" si="1931">K2+1</f>
        <v>2</v>
      </c>
      <c r="P3" s="15">
        <v>1</v>
      </c>
      <c r="Q3">
        <v>2010</v>
      </c>
      <c r="R3" s="104" t="e">
        <f t="array" ref="R3">C3-INDEX(L$2:L$9,$P3,1)</f>
        <v>#NAME?</v>
      </c>
      <c r="S3" s="104">
        <f t="array" ref="S3">D3-INDEX(M$2:M$9,$P3,1)</f>
        <v>3.4831300000000001</v>
      </c>
      <c r="T3" s="104">
        <f t="array" ref="T3">E3-INDEX(N$2:N$9,$P3,1)</f>
        <v>9.7047600000000003</v>
      </c>
      <c r="V3" s="49" t="s">
        <v>371</v>
      </c>
      <c r="W3" s="49"/>
      <c r="Y3" s="49"/>
      <c r="Z3" s="49"/>
      <c r="AE3" t="e">
        <v>#NAME?</v>
      </c>
      <c r="AF3" t="e">
        <v>#NAME?</v>
      </c>
      <c r="AG3" t="e">
        <v>#NAME?</v>
      </c>
      <c r="AI3" s="49" t="s">
        <v>371</v>
      </c>
      <c r="AJ3" s="49"/>
      <c r="AL3" s="49"/>
      <c r="AM3" s="49"/>
    </row>
    <row r="4">
      <c r="A4" s="15">
        <v>1</v>
      </c>
      <c r="B4">
        <v>2012</v>
      </c>
      <c r="C4" s="100">
        <v>9.0151000000000003</v>
      </c>
      <c r="D4" s="100">
        <v>3.83507</v>
      </c>
      <c r="E4" s="100">
        <v>9.8431499999999996</v>
      </c>
      <c r="G4" t="str">
        <f t="shared" si="1928"/>
        <v/>
      </c>
      <c r="H4" t="str">
        <f t="shared" si="1929"/>
        <v/>
      </c>
      <c r="I4" t="str">
        <f t="shared" si="1930"/>
        <v/>
      </c>
      <c r="K4" s="15">
        <f t="shared" si="1931"/>
        <v>3</v>
      </c>
      <c r="P4" s="15">
        <v>1</v>
      </c>
      <c r="Q4">
        <v>2012</v>
      </c>
      <c r="R4" s="104" t="e">
        <f t="array" ref="R4">C4-INDEX(L$2:L$9,$P4,1)</f>
        <v>#NAME?</v>
      </c>
      <c r="S4" s="104">
        <f t="array" ref="S4">D4-INDEX(M$2:M$9,$P4,1)</f>
        <v>3.83507</v>
      </c>
      <c r="T4" s="104">
        <f t="array" ref="T4">E4-INDEX(N$2:N$9,$P4,1)</f>
        <v>9.8431499999999996</v>
      </c>
      <c r="V4" t="s">
        <v>373</v>
      </c>
      <c r="W4" t="e">
        <f>SQRT(W5)</f>
        <v>#NAME?</v>
      </c>
      <c r="Y4" t="s">
        <v>374</v>
      </c>
      <c r="Z4" t="e">
        <f>W8*LN(X13/W8)+2*W12</f>
        <v>#NAME?</v>
      </c>
      <c r="AE4" t="e">
        <v>#NAME?</v>
      </c>
      <c r="AF4" t="e">
        <v>#NAME?</v>
      </c>
      <c r="AG4" t="e">
        <v>#NAME?</v>
      </c>
      <c r="AI4" t="s">
        <v>373</v>
      </c>
      <c r="AJ4" t="e">
        <f>SQRT(AJ5)</f>
        <v>#NAME?</v>
      </c>
      <c r="AL4" t="s">
        <v>374</v>
      </c>
      <c r="AM4" t="e">
        <f>AJ8*LN(AK13/AJ8)+2*AJ12</f>
        <v>#NAME?</v>
      </c>
    </row>
    <row r="5">
      <c r="A5" s="15">
        <v>2</v>
      </c>
      <c r="B5">
        <v>2008</v>
      </c>
      <c r="C5" s="100">
        <v>7.7774000000000001</v>
      </c>
      <c r="D5" s="100">
        <v>4.2269300000000003</v>
      </c>
      <c r="E5" s="100">
        <v>8.1265400000000003</v>
      </c>
      <c r="G5">
        <f t="shared" si="1928"/>
        <v>8.1154166666666701</v>
      </c>
      <c r="H5">
        <f t="shared" si="1929"/>
        <v>4.3526866666666697</v>
      </c>
      <c r="I5">
        <f t="shared" si="1930"/>
        <v>8.1572966666666709</v>
      </c>
      <c r="K5" s="15">
        <f t="shared" si="1931"/>
        <v>4</v>
      </c>
      <c r="P5" s="15">
        <v>2</v>
      </c>
      <c r="Q5">
        <v>2008</v>
      </c>
      <c r="R5" s="104">
        <f t="array" ref="R5">C5-INDEX(L$2:L$9,$P5,1)</f>
        <v>7.7774000000000001</v>
      </c>
      <c r="S5" s="104">
        <f t="array" ref="S5">D5-INDEX(M$2:M$9,$P5,1)</f>
        <v>4.2269300000000003</v>
      </c>
      <c r="T5" s="104">
        <f t="array" ref="T5">E5-INDEX(N$2:N$9,$P5,1)</f>
        <v>8.1265400000000003</v>
      </c>
      <c r="V5" t="s">
        <v>375</v>
      </c>
      <c r="W5" t="e">
        <f>X12/X14</f>
        <v>#NAME?</v>
      </c>
      <c r="Y5" t="s">
        <v>376</v>
      </c>
      <c r="Z5" t="e">
        <f>Z4+2*(W12+1)*(W12+2)/(W8-W12-2)</f>
        <v>#NAME?</v>
      </c>
      <c r="AE5" t="e">
        <v>#NAME?</v>
      </c>
      <c r="AF5" t="e">
        <v>#NAME?</v>
      </c>
      <c r="AG5" t="e">
        <v>#NAME?</v>
      </c>
      <c r="AI5" t="s">
        <v>375</v>
      </c>
      <c r="AJ5" t="e">
        <f>AK12/AK14</f>
        <v>#NAME?</v>
      </c>
      <c r="AL5" t="s">
        <v>376</v>
      </c>
      <c r="AM5" t="e">
        <f>AM4+2*(AJ12+1)*(AJ12+2)/(AJ8-AJ12-2)</f>
        <v>#NAME?</v>
      </c>
    </row>
    <row r="6">
      <c r="A6" s="15">
        <v>2</v>
      </c>
      <c r="B6">
        <v>2010</v>
      </c>
      <c r="C6" s="100">
        <v>7.2570899999999998</v>
      </c>
      <c r="D6" s="100">
        <v>4.43757</v>
      </c>
      <c r="E6" s="100">
        <v>8.5477600000000002</v>
      </c>
      <c r="G6" t="str">
        <f t="shared" si="1928"/>
        <v/>
      </c>
      <c r="H6" t="str">
        <f t="shared" si="1929"/>
        <v/>
      </c>
      <c r="I6" t="str">
        <f t="shared" si="1930"/>
        <v/>
      </c>
      <c r="K6" s="15">
        <f t="shared" si="1931"/>
        <v>5</v>
      </c>
      <c r="P6" s="15">
        <v>2</v>
      </c>
      <c r="Q6">
        <v>2010</v>
      </c>
      <c r="R6" s="104">
        <f t="array" ref="R6">C6-INDEX(L$2:L$9,$P6,1)</f>
        <v>7.2570899999999998</v>
      </c>
      <c r="S6" s="104">
        <f t="array" ref="S6">D6-INDEX(M$2:M$9,$P6,1)</f>
        <v>4.43757</v>
      </c>
      <c r="T6" s="104">
        <f t="array" ref="T6">E6-INDEX(N$2:N$9,$P6,1)</f>
        <v>8.5477600000000002</v>
      </c>
      <c r="V6" t="s">
        <v>378</v>
      </c>
      <c r="W6" t="e">
        <f>1-(1-W5)*W8/(W8-W12)</f>
        <v>#NAME?</v>
      </c>
      <c r="Y6" s="14" t="s">
        <v>379</v>
      </c>
      <c r="Z6" s="14" t="e">
        <f>W8*LN(X13/W8)+W12*LN(W8)</f>
        <v>#NAME?</v>
      </c>
      <c r="AE6" t="e">
        <v>#NAME?</v>
      </c>
      <c r="AF6" t="e">
        <v>#NAME?</v>
      </c>
      <c r="AG6" t="e">
        <v>#NAME?</v>
      </c>
      <c r="AI6" t="s">
        <v>378</v>
      </c>
      <c r="AJ6" t="e">
        <f>1-(1-AJ5)*AJ8/(AJ8-AJ12)</f>
        <v>#NAME?</v>
      </c>
      <c r="AL6" s="14" t="s">
        <v>379</v>
      </c>
      <c r="AM6" s="14" t="e">
        <f>AJ8*LN(AK13/AJ8)+AJ12*LN(AJ8)</f>
        <v>#NAME?</v>
      </c>
    </row>
    <row r="7">
      <c r="A7" s="15">
        <v>2</v>
      </c>
      <c r="B7">
        <v>2012</v>
      </c>
      <c r="C7" s="100">
        <v>9.3117599999999996</v>
      </c>
      <c r="D7" s="100">
        <v>4.3935599999999999</v>
      </c>
      <c r="E7" s="100">
        <v>7.7975899999999987</v>
      </c>
      <c r="G7" t="str">
        <f t="shared" si="1928"/>
        <v/>
      </c>
      <c r="H7" t="str">
        <f t="shared" si="1929"/>
        <v/>
      </c>
      <c r="I7" t="str">
        <f t="shared" si="1930"/>
        <v/>
      </c>
      <c r="K7" s="15">
        <f t="shared" si="1931"/>
        <v>6</v>
      </c>
      <c r="P7" s="15">
        <v>2</v>
      </c>
      <c r="Q7">
        <v>2012</v>
      </c>
      <c r="R7" s="104">
        <f t="array" ref="R7">C7-INDEX(L$2:L$9,$P7,1)</f>
        <v>9.3117599999999996</v>
      </c>
      <c r="S7" s="104">
        <f t="array" ref="S7">D7-INDEX(M$2:M$9,$P7,1)</f>
        <v>4.3935599999999999</v>
      </c>
      <c r="T7" s="104">
        <f t="array" ref="T7">E7-INDEX(N$2:N$9,$P7,1)</f>
        <v>7.7975899999999996</v>
      </c>
      <c r="V7" t="s">
        <v>381</v>
      </c>
      <c r="W7" t="e">
        <f>SQRT(Y13)</f>
        <v>#NAME?</v>
      </c>
      <c r="AE7" t="e">
        <v>#NAME?</v>
      </c>
      <c r="AF7" t="e">
        <v>#NAME?</v>
      </c>
      <c r="AG7" t="e">
        <v>#NAME?</v>
      </c>
      <c r="AI7" t="s">
        <v>381</v>
      </c>
      <c r="AJ7" t="e">
        <f>SQRT(AL13)</f>
        <v>#NAME?</v>
      </c>
    </row>
    <row r="8">
      <c r="A8" s="15">
        <v>3</v>
      </c>
      <c r="B8">
        <v>2008</v>
      </c>
      <c r="C8" s="100">
        <v>5.54861</v>
      </c>
      <c r="D8" s="100">
        <v>4.8532000000000002</v>
      </c>
      <c r="E8" s="100">
        <v>7.3699300000000001</v>
      </c>
      <c r="G8">
        <f t="shared" ref="G8:G9" si="1932">IF($B8=2008,AVERAGE(C8:C10),"")</f>
        <v>6.6284933333333296</v>
      </c>
      <c r="H8">
        <f t="shared" ref="H8:H9" si="1933">IF($B8=2008,AVERAGE(D8:D10),"")</f>
        <v>4.3257033333333297</v>
      </c>
      <c r="I8">
        <f t="shared" ref="I8:I9" si="1934">IF($B8=2008,AVERAGE(E8:E10),"")</f>
        <v>7.4303133333333298</v>
      </c>
      <c r="K8" s="15">
        <f t="shared" si="1931"/>
        <v>7</v>
      </c>
      <c r="P8" s="15">
        <v>3</v>
      </c>
      <c r="Q8">
        <v>2008</v>
      </c>
      <c r="R8" s="104">
        <f t="array" ref="R8">C8-INDEX(L$2:L$9,$P8,1)</f>
        <v>5.54861</v>
      </c>
      <c r="S8" s="104">
        <f t="array" ref="S8">D8-INDEX(M$2:M$9,$P8,1)</f>
        <v>4.8532000000000002</v>
      </c>
      <c r="T8" s="104">
        <f t="array" ref="T8">E8-INDEX(N$2:N$9,$P8,1)</f>
        <v>7.3699300000000001</v>
      </c>
      <c r="V8" s="14" t="s">
        <v>383</v>
      </c>
      <c r="W8" s="14">
        <f>COUNT(T2:T25)</f>
        <v>24</v>
      </c>
      <c r="AE8" t="e">
        <v>#NAME?</v>
      </c>
      <c r="AF8" t="e">
        <v>#NAME?</v>
      </c>
      <c r="AG8" t="e">
        <v>#NAME?</v>
      </c>
      <c r="AI8" s="14" t="s">
        <v>383</v>
      </c>
      <c r="AJ8" s="14">
        <f>COUNT(AG2:AG25)-AM8</f>
        <v>-8</v>
      </c>
      <c r="AL8" s="26" t="s">
        <v>673</v>
      </c>
      <c r="AM8" s="26">
        <v>8</v>
      </c>
    </row>
    <row r="9">
      <c r="A9" s="15">
        <v>3</v>
      </c>
      <c r="B9">
        <v>2010</v>
      </c>
      <c r="C9" s="100">
        <v>6.5219699999999996</v>
      </c>
      <c r="D9" s="100">
        <v>4.1636499999999996</v>
      </c>
      <c r="E9" s="100">
        <v>7.4622799999999998</v>
      </c>
      <c r="G9" t="str">
        <f t="shared" si="1932"/>
        <v/>
      </c>
      <c r="H9" t="str">
        <f t="shared" si="1933"/>
        <v/>
      </c>
      <c r="I9" t="str">
        <f t="shared" si="1934"/>
        <v/>
      </c>
      <c r="K9" s="17">
        <f t="shared" si="1931"/>
        <v>8</v>
      </c>
      <c r="L9" s="14"/>
      <c r="M9" s="14"/>
      <c r="N9" s="14"/>
      <c r="P9" s="15">
        <v>3</v>
      </c>
      <c r="Q9">
        <v>2010</v>
      </c>
      <c r="R9" s="104">
        <f t="array" ref="R9">C9-INDEX(L$2:L$9,$P9,1)</f>
        <v>6.5219699999999996</v>
      </c>
      <c r="S9" s="104">
        <f t="array" ref="S9">D9-INDEX(M$2:M$9,$P9,1)</f>
        <v>4.1636499999999996</v>
      </c>
      <c r="T9" s="104">
        <f t="array" ref="T9">E9-INDEX(N$2:N$9,$P9,1)</f>
        <v>7.4622799999999998</v>
      </c>
      <c r="AE9" t="e">
        <v>#NAME?</v>
      </c>
      <c r="AF9" t="e">
        <v>#NAME?</v>
      </c>
      <c r="AG9" t="e">
        <v>#NAME?</v>
      </c>
    </row>
    <row r="10">
      <c r="A10" s="15">
        <v>3</v>
      </c>
      <c r="B10">
        <v>2012</v>
      </c>
      <c r="C10" s="100">
        <v>7.8148999999999988</v>
      </c>
      <c r="D10" s="100">
        <v>3.9602599999999999</v>
      </c>
      <c r="E10" s="100">
        <v>7.4587300000000001</v>
      </c>
      <c r="G10" t="str">
        <f t="shared" ref="G10:G25" si="1935">IF($B10=2008,AVERAGE(C10:C12),"")</f>
        <v/>
      </c>
      <c r="H10" t="str">
        <f t="shared" ref="H10:H25" si="1936">IF($B10=2008,AVERAGE(D10:D12),"")</f>
        <v/>
      </c>
      <c r="I10" t="str">
        <f t="shared" ref="I10:I25" si="1937">IF($B10=2008,AVERAGE(E10:E12),"")</f>
        <v/>
      </c>
      <c r="P10" s="15">
        <v>3</v>
      </c>
      <c r="Q10">
        <v>2012</v>
      </c>
      <c r="R10" s="104">
        <f t="array" ref="R10">C10-INDEX(L$2:L$9,$P10,1)</f>
        <v>7.8148999999999997</v>
      </c>
      <c r="S10" s="104">
        <f t="array" ref="S10">D10-INDEX(M$2:M$9,$P10,1)</f>
        <v>3.9602599999999999</v>
      </c>
      <c r="T10" s="104">
        <f t="array" ref="T10">E10-INDEX(N$2:N$9,$P10,1)</f>
        <v>7.4587300000000001</v>
      </c>
      <c r="V10" t="s">
        <v>384</v>
      </c>
      <c r="Z10" s="15" t="s">
        <v>385</v>
      </c>
      <c r="AA10" s="15">
        <v>5.0000000000000003e-02</v>
      </c>
      <c r="AE10" t="e">
        <v>#NAME?</v>
      </c>
      <c r="AF10" t="e">
        <v>#NAME?</v>
      </c>
      <c r="AG10" t="e">
        <v>#NAME?</v>
      </c>
      <c r="AI10" t="s">
        <v>384</v>
      </c>
      <c r="AM10" s="15" t="s">
        <v>385</v>
      </c>
      <c r="AN10" s="15">
        <v>5.0000000000000003e-02</v>
      </c>
    </row>
    <row r="11">
      <c r="A11" s="15">
        <v>4</v>
      </c>
      <c r="B11">
        <v>2008</v>
      </c>
      <c r="C11" s="100">
        <v>9.3600399999999997</v>
      </c>
      <c r="D11" s="100">
        <v>4.67028</v>
      </c>
      <c r="E11" s="100">
        <v>8.25901</v>
      </c>
      <c r="G11">
        <f t="shared" si="1935"/>
        <v>8.98916</v>
      </c>
      <c r="H11">
        <f t="shared" si="1936"/>
        <v>4.5251966666666696</v>
      </c>
      <c r="I11">
        <f t="shared" si="1937"/>
        <v>8.6950199999999995</v>
      </c>
      <c r="L11" s="32" t="e">
        <v>#NAME?</v>
      </c>
      <c r="M11" s="32"/>
      <c r="N11" s="32"/>
      <c r="P11" s="15">
        <v>4</v>
      </c>
      <c r="Q11">
        <v>2008</v>
      </c>
      <c r="R11" s="104">
        <f t="array" ref="R11">C11-INDEX(L$2:L$9,$P11,1)</f>
        <v>9.3600399999999997</v>
      </c>
      <c r="S11" s="104">
        <f t="array" ref="S11">D11-INDEX(M$2:M$9,$P11,1)</f>
        <v>4.67028</v>
      </c>
      <c r="T11" s="104">
        <f t="array" ref="T11">E11-INDEX(N$2:N$9,$P11,1)</f>
        <v>8.25901</v>
      </c>
      <c r="V11" s="24"/>
      <c r="W11" s="24" t="s">
        <v>294</v>
      </c>
      <c r="X11" s="24" t="s">
        <v>386</v>
      </c>
      <c r="Y11" s="24" t="s">
        <v>387</v>
      </c>
      <c r="Z11" s="24" t="s">
        <v>388</v>
      </c>
      <c r="AA11" s="24" t="s">
        <v>189</v>
      </c>
      <c r="AB11" s="24" t="s">
        <v>204</v>
      </c>
      <c r="AE11" t="e">
        <v>#NAME?</v>
      </c>
      <c r="AF11" t="e">
        <v>#NAME?</v>
      </c>
      <c r="AG11" t="e">
        <v>#NAME?</v>
      </c>
      <c r="AI11" s="24"/>
      <c r="AJ11" s="24" t="s">
        <v>294</v>
      </c>
      <c r="AK11" s="24" t="s">
        <v>386</v>
      </c>
      <c r="AL11" s="24" t="s">
        <v>387</v>
      </c>
      <c r="AM11" s="24" t="s">
        <v>388</v>
      </c>
      <c r="AN11" s="24" t="s">
        <v>189</v>
      </c>
      <c r="AO11" s="24" t="s">
        <v>204</v>
      </c>
    </row>
    <row r="12">
      <c r="A12" s="15">
        <v>4</v>
      </c>
      <c r="B12">
        <v>2010</v>
      </c>
      <c r="C12" s="100">
        <v>9.2680000000000007</v>
      </c>
      <c r="D12" s="100">
        <v>4.5826599999999997</v>
      </c>
      <c r="E12" s="100">
        <v>8.7930200000000003</v>
      </c>
      <c r="G12" t="str">
        <f t="shared" si="1935"/>
        <v/>
      </c>
      <c r="H12" t="str">
        <f t="shared" si="1936"/>
        <v/>
      </c>
      <c r="I12" t="str">
        <f t="shared" si="1937"/>
        <v/>
      </c>
      <c r="P12" s="15">
        <v>4</v>
      </c>
      <c r="Q12">
        <v>2010</v>
      </c>
      <c r="R12" s="104">
        <f t="array" ref="R12">C12-INDEX(L$2:L$9,$P12,1)</f>
        <v>9.2680000000000007</v>
      </c>
      <c r="S12" s="104">
        <f t="array" ref="S12">D12-INDEX(M$2:M$9,$P12,1)</f>
        <v>4.5826599999999997</v>
      </c>
      <c r="T12" s="104">
        <f t="array" ref="T12">E12-INDEX(N$2:N$9,$P12,1)</f>
        <v>8.7930200000000003</v>
      </c>
      <c r="V12" t="s">
        <v>389</v>
      </c>
      <c r="W12">
        <f>COUNT(R2:S2)</f>
        <v>1</v>
      </c>
      <c r="X12" t="e">
        <f>SUMSQ(MMULT(R2:S25,W17:W18))</f>
        <v>#NAME?</v>
      </c>
      <c r="Y12" t="e">
        <f t="shared" ref="Y12:Y13" si="1938">X12/W12</f>
        <v>#NAME?</v>
      </c>
      <c r="Z12" t="e">
        <f>Y12/Y13</f>
        <v>#NAME?</v>
      </c>
      <c r="AA12" t="e">
        <f>_xlfn.F.DIST.RT(Z12,W12,W13)</f>
        <v>#NAME?</v>
      </c>
      <c r="AB12" s="15" t="e">
        <f>IF(AA12&lt;AA10,"yes","no")</f>
        <v>#NAME?</v>
      </c>
      <c r="AE12" t="e">
        <v>#NAME?</v>
      </c>
      <c r="AF12" t="e">
        <v>#NAME?</v>
      </c>
      <c r="AG12" t="e">
        <v>#NAME?</v>
      </c>
      <c r="AI12" t="s">
        <v>389</v>
      </c>
      <c r="AJ12">
        <f>COUNT(AE2:AF2)</f>
        <v>0</v>
      </c>
      <c r="AK12" t="e">
        <f>SUMSQ(MMULT(AE2:AF25,AJ17:AJ18))</f>
        <v>#NAME?</v>
      </c>
      <c r="AL12" t="e">
        <f t="shared" ref="AL12:AL13" si="1939">AK12/AJ12</f>
        <v>#NAME?</v>
      </c>
      <c r="AM12" t="e">
        <f>AL12/AL13</f>
        <v>#NAME?</v>
      </c>
      <c r="AN12" t="e">
        <f>_xlfn.F.DIST.RT(AM12,AJ12,AJ13)</f>
        <v>#NAME?</v>
      </c>
      <c r="AO12" s="15" t="e">
        <f>IF(AN12&lt;AN10,"yes","no")</f>
        <v>#NAME?</v>
      </c>
    </row>
    <row r="13">
      <c r="A13" s="15">
        <v>4</v>
      </c>
      <c r="B13">
        <v>2012</v>
      </c>
      <c r="C13" s="100">
        <v>8.339439999999998</v>
      </c>
      <c r="D13" s="100">
        <v>4.3226500000000003</v>
      </c>
      <c r="E13" s="100">
        <v>9.0330300000000001</v>
      </c>
      <c r="G13" t="str">
        <f t="shared" si="1935"/>
        <v/>
      </c>
      <c r="H13" t="str">
        <f t="shared" si="1936"/>
        <v/>
      </c>
      <c r="I13" t="str">
        <f t="shared" si="1937"/>
        <v/>
      </c>
      <c r="P13" s="15">
        <v>4</v>
      </c>
      <c r="Q13">
        <v>2012</v>
      </c>
      <c r="R13" s="104">
        <f t="array" ref="R13">C13-INDEX(L$2:L$9,$P13,1)</f>
        <v>8.3394399999999997</v>
      </c>
      <c r="S13" s="104">
        <f t="array" ref="S13">D13-INDEX(M$2:M$9,$P13,1)</f>
        <v>4.3226500000000003</v>
      </c>
      <c r="T13" s="104">
        <f t="array" ref="T13">E13-INDEX(N$2:N$9,$P13,1)</f>
        <v>9.0330300000000001</v>
      </c>
      <c r="V13" t="s">
        <v>342</v>
      </c>
      <c r="W13">
        <f>W14-W12</f>
        <v>23</v>
      </c>
      <c r="X13" t="e">
        <f>X14-X12</f>
        <v>#NAME?</v>
      </c>
      <c r="Y13" t="e">
        <f t="shared" si="1938"/>
        <v>#NAME?</v>
      </c>
      <c r="AE13" t="e">
        <v>#NAME?</v>
      </c>
      <c r="AF13" t="e">
        <v>#NAME?</v>
      </c>
      <c r="AG13" t="e">
        <v>#NAME?</v>
      </c>
      <c r="AI13" t="s">
        <v>342</v>
      </c>
      <c r="AJ13">
        <f>AJ14-AJ12</f>
        <v>-8</v>
      </c>
      <c r="AK13" t="e">
        <f>AK14-AK12</f>
        <v>#NAME?</v>
      </c>
      <c r="AL13" t="e">
        <f t="shared" si="1939"/>
        <v>#NAME?</v>
      </c>
    </row>
    <row r="14">
      <c r="A14" s="15">
        <v>5</v>
      </c>
      <c r="B14">
        <v>2008</v>
      </c>
      <c r="C14" s="100">
        <v>7.7452199999999989</v>
      </c>
      <c r="D14" s="100">
        <v>5.2744900000000001</v>
      </c>
      <c r="E14" s="100">
        <v>4.0256800000000004</v>
      </c>
      <c r="G14">
        <f t="shared" si="1935"/>
        <v>7.9907733333333297</v>
      </c>
      <c r="H14">
        <f t="shared" si="1936"/>
        <v>5.3382466666666701</v>
      </c>
      <c r="I14">
        <f t="shared" si="1937"/>
        <v>3.9915600000000002</v>
      </c>
      <c r="P14" s="15">
        <v>5</v>
      </c>
      <c r="Q14">
        <v>2008</v>
      </c>
      <c r="R14" s="104">
        <f t="array" ref="R14">C14-INDEX(L$2:L$9,$P14,1)</f>
        <v>7.7452199999999998</v>
      </c>
      <c r="S14" s="104">
        <f t="array" ref="S14">D14-INDEX(M$2:M$9,$P14,1)</f>
        <v>5.2744900000000001</v>
      </c>
      <c r="T14" s="104">
        <f t="array" ref="T14">E14-INDEX(N$2:N$9,$P14,1)</f>
        <v>4.0256800000000004</v>
      </c>
      <c r="V14" s="14" t="s">
        <v>390</v>
      </c>
      <c r="W14" s="14">
        <f>W8</f>
        <v>24</v>
      </c>
      <c r="X14" s="14">
        <f>SUMSQ(T2:T25)</f>
        <v>1608.67851763862</v>
      </c>
      <c r="Y14" s="14"/>
      <c r="Z14" s="14"/>
      <c r="AA14" s="14"/>
      <c r="AB14" s="14"/>
      <c r="AE14" t="e">
        <v>#NAME?</v>
      </c>
      <c r="AF14" t="e">
        <v>#NAME?</v>
      </c>
      <c r="AG14" t="e">
        <v>#NAME?</v>
      </c>
      <c r="AI14" s="14" t="s">
        <v>390</v>
      </c>
      <c r="AJ14" s="14">
        <f>AJ8</f>
        <v>-8</v>
      </c>
      <c r="AK14" s="14" t="e">
        <f>SUMSQ(AG2:AG25)</f>
        <v>#NAME?</v>
      </c>
      <c r="AL14" s="14"/>
      <c r="AM14" s="14"/>
      <c r="AN14" s="14"/>
      <c r="AO14" s="14"/>
    </row>
    <row r="15">
      <c r="A15" s="15">
        <v>5</v>
      </c>
      <c r="B15">
        <v>2010</v>
      </c>
      <c r="C15" s="100">
        <v>8.0331600000000005</v>
      </c>
      <c r="D15" s="100">
        <v>5.3003099999999996</v>
      </c>
      <c r="E15" s="100">
        <v>3.9876100000000001</v>
      </c>
      <c r="G15" t="str">
        <f t="shared" si="1935"/>
        <v/>
      </c>
      <c r="H15" t="str">
        <f t="shared" si="1936"/>
        <v/>
      </c>
      <c r="I15" t="str">
        <f t="shared" si="1937"/>
        <v/>
      </c>
      <c r="P15" s="15">
        <v>5</v>
      </c>
      <c r="Q15">
        <v>2010</v>
      </c>
      <c r="R15" s="104">
        <f t="array" ref="R15">C15-INDEX(L$2:L$9,$P15,1)</f>
        <v>8.0331600000000005</v>
      </c>
      <c r="S15" s="104">
        <f t="array" ref="S15">D15-INDEX(M$2:M$9,$P15,1)</f>
        <v>5.3003099999999996</v>
      </c>
      <c r="T15" s="104">
        <f t="array" ref="T15">E15-INDEX(N$2:N$9,$P15,1)</f>
        <v>3.9876100000000001</v>
      </c>
      <c r="AE15" t="e">
        <v>#NAME?</v>
      </c>
      <c r="AF15" t="e">
        <v>#NAME?</v>
      </c>
      <c r="AG15" t="e">
        <v>#NAME?</v>
      </c>
      <c r="AM15" t="s">
        <v>674</v>
      </c>
      <c r="AO15">
        <f>SQRT(1+AM8/AJ13)</f>
        <v>0</v>
      </c>
    </row>
    <row r="16">
      <c r="A16" s="15">
        <v>5</v>
      </c>
      <c r="B16">
        <v>2012</v>
      </c>
      <c r="C16" s="100">
        <v>8.1939399999999978</v>
      </c>
      <c r="D16" s="100">
        <v>5.43994</v>
      </c>
      <c r="E16" s="100">
        <v>3.9613900000000002</v>
      </c>
      <c r="G16" t="str">
        <f t="shared" si="1935"/>
        <v/>
      </c>
      <c r="H16" t="str">
        <f t="shared" si="1936"/>
        <v/>
      </c>
      <c r="I16" t="str">
        <f t="shared" si="1937"/>
        <v/>
      </c>
      <c r="P16" s="15">
        <v>5</v>
      </c>
      <c r="Q16">
        <v>2012</v>
      </c>
      <c r="R16" s="104">
        <f t="array" ref="R16">C16-INDEX(L$2:L$9,$P16,1)</f>
        <v>8.1939399999999996</v>
      </c>
      <c r="S16" s="104">
        <f t="array" ref="S16">D16-INDEX(M$2:M$9,$P16,1)</f>
        <v>5.43994</v>
      </c>
      <c r="T16" s="104">
        <f t="array" ref="T16">E16-INDEX(N$2:N$9,$P16,1)</f>
        <v>3.9613900000000002</v>
      </c>
      <c r="V16" s="24"/>
      <c r="W16" s="24" t="s">
        <v>391</v>
      </c>
      <c r="X16" s="24" t="s">
        <v>392</v>
      </c>
      <c r="Y16" s="24" t="s">
        <v>393</v>
      </c>
      <c r="Z16" s="24" t="s">
        <v>189</v>
      </c>
      <c r="AA16" s="24" t="s">
        <v>215</v>
      </c>
      <c r="AB16" s="24" t="s">
        <v>216</v>
      </c>
      <c r="AC16" s="24" t="s">
        <v>397</v>
      </c>
      <c r="AE16" t="e">
        <v>#NAME?</v>
      </c>
      <c r="AF16" t="e">
        <v>#NAME?</v>
      </c>
      <c r="AG16" t="e">
        <v>#NAME?</v>
      </c>
      <c r="AI16" s="24"/>
      <c r="AJ16" s="24" t="s">
        <v>391</v>
      </c>
      <c r="AK16" s="24" t="s">
        <v>392</v>
      </c>
      <c r="AL16" s="24" t="s">
        <v>393</v>
      </c>
      <c r="AM16" s="24" t="s">
        <v>189</v>
      </c>
      <c r="AN16" s="24" t="s">
        <v>215</v>
      </c>
      <c r="AO16" s="24" t="s">
        <v>216</v>
      </c>
      <c r="AP16" s="24" t="s">
        <v>397</v>
      </c>
    </row>
    <row r="17">
      <c r="A17" s="15">
        <v>6</v>
      </c>
      <c r="B17">
        <v>2008</v>
      </c>
      <c r="C17" s="100">
        <v>9.9685299999999994</v>
      </c>
      <c r="D17" s="100">
        <v>9.5003200000000003</v>
      </c>
      <c r="E17" s="100">
        <v>4.317361</v>
      </c>
      <c r="G17">
        <f t="shared" si="1935"/>
        <v>10.042149999999999</v>
      </c>
      <c r="H17">
        <f t="shared" si="1936"/>
        <v>9.8456966666666705</v>
      </c>
      <c r="I17">
        <f t="shared" si="1937"/>
        <v>4.1076636666666699</v>
      </c>
      <c r="P17" s="15">
        <v>6</v>
      </c>
      <c r="Q17">
        <v>2008</v>
      </c>
      <c r="R17" s="104">
        <f t="array" ref="R17">C17-INDEX(L$2:L$9,$P17,1)</f>
        <v>9.9685299999999994</v>
      </c>
      <c r="S17" s="104">
        <f t="array" ref="S17">D17-INDEX(M$2:M$9,$P17,1)</f>
        <v>9.5003200000000003</v>
      </c>
      <c r="T17" s="104">
        <f t="array" ref="T17">E17-INDEX(N$2:N$9,$P17,1)</f>
        <v>4.317361</v>
      </c>
      <c r="V17" t="str">
        <f t="array" ref="V17:V18">TRANSPOSE(R1:S1)</f>
        <v>lcapital</v>
      </c>
      <c r="W17" t="e">
        <v>#NAME?</v>
      </c>
      <c r="X17" t="e">
        <v>#NAME?</v>
      </c>
      <c r="Y17" t="e">
        <f t="shared" ref="Y17:Y18" si="1940">W17/X17</f>
        <v>#NAME?</v>
      </c>
      <c r="Z17" t="e">
        <f t="shared" ref="Z17:Z18" si="1941">_xlfn.T.DIST.2T(ABS(Y17),$W$13)</f>
        <v>#NAME?</v>
      </c>
      <c r="AA17" t="e">
        <f t="shared" ref="AA17:AA18" si="1942">W17-_xlfn.T.INV.2T(AA$10,$W$13)*X17</f>
        <v>#NAME?</v>
      </c>
      <c r="AB17" t="e">
        <f t="shared" ref="AB17:AB18" si="1943">W17+_xlfn.T.INV.2T(AA$10,$W$13)*X17</f>
        <v>#NAME?</v>
      </c>
      <c r="AC17" t="e">
        <v>#NAME?</v>
      </c>
      <c r="AE17" t="e">
        <v>#NAME?</v>
      </c>
      <c r="AF17" t="e">
        <v>#NAME?</v>
      </c>
      <c r="AG17" t="e">
        <v>#NAME?</v>
      </c>
      <c r="AI17" t="e">
        <f t="array" ref="AI17:AI18">TRANSPOSE(AE1:AF1)</f>
        <v>#NAME?</v>
      </c>
      <c r="AJ17" t="e">
        <f t="shared" ref="AJ17:AJ18" si="1944">W17</f>
        <v>#NAME?</v>
      </c>
      <c r="AK17" t="e">
        <f>X17*AO15</f>
        <v>#NAME?</v>
      </c>
      <c r="AL17" t="e">
        <f t="shared" ref="AL17:AL18" si="1945">AJ17/AK17</f>
        <v>#NAME?</v>
      </c>
      <c r="AM17" t="e">
        <f t="shared" ref="AM17:AM18" si="1946">_xlfn.T.DIST.2T(ABS(AL17),$AJ$13)</f>
        <v>#NAME?</v>
      </c>
      <c r="AN17" t="e">
        <f t="shared" ref="AN17:AN18" si="1947">AJ17-_xlfn.T.INV.2T(AN$10,$AJ$13)*AK17</f>
        <v>#NAME?</v>
      </c>
      <c r="AO17" t="e">
        <f t="shared" ref="AO17:AO18" si="1948">AJ17+_xlfn.T.INV.2T(AN$10,$AJ$13)*AK17</f>
        <v>#NAME?</v>
      </c>
      <c r="AP17" t="e">
        <v>#NAME?</v>
      </c>
    </row>
    <row r="18">
      <c r="A18" s="15">
        <v>6</v>
      </c>
      <c r="B18">
        <v>2010</v>
      </c>
      <c r="C18" s="100">
        <v>10.104450000000002</v>
      </c>
      <c r="D18" s="100">
        <v>10.0128</v>
      </c>
      <c r="E18" s="100">
        <v>4.1316800000000002</v>
      </c>
      <c r="G18" t="str">
        <f t="shared" si="1935"/>
        <v/>
      </c>
      <c r="H18" t="str">
        <f t="shared" si="1936"/>
        <v/>
      </c>
      <c r="I18" t="str">
        <f t="shared" si="1937"/>
        <v/>
      </c>
      <c r="P18" s="15">
        <v>6</v>
      </c>
      <c r="Q18">
        <v>2010</v>
      </c>
      <c r="R18" s="104">
        <f t="array" ref="R18">C18-INDEX(L$2:L$9,$P18,1)</f>
        <v>10.10445</v>
      </c>
      <c r="S18" s="104">
        <f t="array" ref="S18">D18-INDEX(M$2:M$9,$P18,1)</f>
        <v>10.0128</v>
      </c>
      <c r="T18" s="104">
        <f t="array" ref="T18">E18-INDEX(N$2:N$9,$P18,1)</f>
        <v>4.1316800000000002</v>
      </c>
      <c r="V18" s="14" t="str">
        <f/>
        <v>llabor</v>
      </c>
      <c r="W18" s="14" t="e">
        <v>#NAME?</v>
      </c>
      <c r="X18" s="14" t="e">
        <v>#NAME?</v>
      </c>
      <c r="Y18" s="14" t="e">
        <f t="shared" si="1940"/>
        <v>#NAME?</v>
      </c>
      <c r="Z18" s="14" t="e">
        <f t="shared" si="1941"/>
        <v>#NAME?</v>
      </c>
      <c r="AA18" s="14" t="e">
        <f t="shared" si="1942"/>
        <v>#NAME?</v>
      </c>
      <c r="AB18" s="14" t="e">
        <f t="shared" si="1943"/>
        <v>#NAME?</v>
      </c>
      <c r="AC18" s="14" t="e">
        <v>#NAME?</v>
      </c>
      <c r="AE18" t="e">
        <v>#NAME?</v>
      </c>
      <c r="AF18" t="e">
        <v>#NAME?</v>
      </c>
      <c r="AG18" t="e">
        <v>#NAME?</v>
      </c>
      <c r="AI18" s="14" t="e">
        <f/>
        <v>#NAME?</v>
      </c>
      <c r="AJ18" s="14" t="e">
        <f t="shared" si="1944"/>
        <v>#NAME?</v>
      </c>
      <c r="AK18" s="14" t="e">
        <f>X18*AO15</f>
        <v>#NAME?</v>
      </c>
      <c r="AL18" s="14" t="e">
        <f t="shared" si="1945"/>
        <v>#NAME?</v>
      </c>
      <c r="AM18" s="14" t="e">
        <f t="shared" si="1946"/>
        <v>#NAME?</v>
      </c>
      <c r="AN18" s="14" t="e">
        <f t="shared" si="1947"/>
        <v>#NAME?</v>
      </c>
      <c r="AO18" s="14" t="e">
        <f t="shared" si="1948"/>
        <v>#NAME?</v>
      </c>
      <c r="AP18" s="14" t="e">
        <v>#NAME?</v>
      </c>
    </row>
    <row r="19">
      <c r="A19" s="15">
        <v>6</v>
      </c>
      <c r="B19">
        <v>2012</v>
      </c>
      <c r="C19" s="100">
        <v>10.053470000000001</v>
      </c>
      <c r="D19" s="100">
        <v>10.02397</v>
      </c>
      <c r="E19" s="100">
        <v>3.8739499999999998</v>
      </c>
      <c r="G19" t="str">
        <f t="shared" si="1935"/>
        <v/>
      </c>
      <c r="H19" t="str">
        <f t="shared" si="1936"/>
        <v/>
      </c>
      <c r="I19" t="str">
        <f t="shared" si="1937"/>
        <v/>
      </c>
      <c r="L19" s="14"/>
      <c r="M19" s="14"/>
      <c r="N19" s="14"/>
      <c r="P19" s="15">
        <v>6</v>
      </c>
      <c r="Q19">
        <v>2012</v>
      </c>
      <c r="R19" s="104">
        <f t="array" ref="R19">C19-INDEX(L$2:L$9,$P19,1)</f>
        <v>10.053470000000001</v>
      </c>
      <c r="S19" s="104">
        <f t="array" ref="S19">D19-INDEX(M$2:M$9,$P19,1)</f>
        <v>10.02397</v>
      </c>
      <c r="T19" s="104">
        <f t="array" ref="T19">E19-INDEX(N$2:N$9,$P19,1)</f>
        <v>3.8739499999999998</v>
      </c>
      <c r="AE19" t="e">
        <v>#NAME?</v>
      </c>
      <c r="AF19" t="e">
        <v>#NAME?</v>
      </c>
      <c r="AG19" t="e">
        <v>#NAME?</v>
      </c>
    </row>
    <row r="20">
      <c r="A20" s="15">
        <v>7</v>
      </c>
      <c r="B20">
        <v>2008</v>
      </c>
      <c r="C20" s="100">
        <v>10.553680000000002</v>
      </c>
      <c r="D20" s="100">
        <v>5.0047100000000002</v>
      </c>
      <c r="E20" s="100">
        <v>11.523529999999999</v>
      </c>
      <c r="G20">
        <f t="shared" si="1935"/>
        <v>10.8823566666667</v>
      </c>
      <c r="H20">
        <f t="shared" si="1936"/>
        <v>5.2018233333333299</v>
      </c>
      <c r="I20">
        <f t="shared" si="1937"/>
        <v>11.5507166666667</v>
      </c>
      <c r="P20" s="15">
        <v>7</v>
      </c>
      <c r="Q20">
        <v>2008</v>
      </c>
      <c r="R20" s="104">
        <f t="array" ref="R20">C20-INDEX(L$2:L$9,$P20,1)</f>
        <v>10.55368</v>
      </c>
      <c r="S20" s="104">
        <f t="array" ref="S20">D20-INDEX(M$2:M$9,$P20,1)</f>
        <v>5.0047100000000002</v>
      </c>
      <c r="T20" s="104">
        <f t="array" ref="T20">E20-INDEX(N$2:N$9,$P20,1)</f>
        <v>11.523529999999999</v>
      </c>
      <c r="AE20" t="e">
        <v>#NAME?</v>
      </c>
      <c r="AF20" t="e">
        <v>#NAME?</v>
      </c>
      <c r="AG20" t="e">
        <v>#NAME?</v>
      </c>
    </row>
    <row r="21">
      <c r="A21" s="15">
        <v>7</v>
      </c>
      <c r="B21">
        <v>2010</v>
      </c>
      <c r="C21" s="100">
        <v>10.749910000000002</v>
      </c>
      <c r="D21" s="100">
        <v>5.1787400000000003</v>
      </c>
      <c r="E21" s="100">
        <v>11.54217</v>
      </c>
      <c r="G21" t="str">
        <f t="shared" si="1935"/>
        <v/>
      </c>
      <c r="H21" t="str">
        <f t="shared" si="1936"/>
        <v/>
      </c>
      <c r="I21" t="str">
        <f t="shared" si="1937"/>
        <v/>
      </c>
      <c r="P21" s="15">
        <v>7</v>
      </c>
      <c r="Q21">
        <v>2010</v>
      </c>
      <c r="R21" s="104">
        <f t="array" ref="R21">C21-INDEX(L$2:L$9,$P21,1)</f>
        <v>10.74991</v>
      </c>
      <c r="S21" s="104">
        <f t="array" ref="S21">D21-INDEX(M$2:M$9,$P21,1)</f>
        <v>5.1787400000000003</v>
      </c>
      <c r="T21" s="104">
        <f t="array" ref="T21">E21-INDEX(N$2:N$9,$P21,1)</f>
        <v>11.54217</v>
      </c>
      <c r="AE21" t="e">
        <v>#NAME?</v>
      </c>
      <c r="AF21" t="e">
        <v>#NAME?</v>
      </c>
      <c r="AG21" t="e">
        <v>#NAME?</v>
      </c>
    </row>
    <row r="22">
      <c r="A22" s="15">
        <v>7</v>
      </c>
      <c r="B22">
        <v>2012</v>
      </c>
      <c r="C22" s="100">
        <v>11.34348</v>
      </c>
      <c r="D22" s="100">
        <v>5.4220199999999998</v>
      </c>
      <c r="E22" s="100">
        <v>11.586449999999999</v>
      </c>
      <c r="G22" t="str">
        <f t="shared" si="1935"/>
        <v/>
      </c>
      <c r="H22" t="str">
        <f t="shared" si="1936"/>
        <v/>
      </c>
      <c r="I22" t="str">
        <f t="shared" si="1937"/>
        <v/>
      </c>
      <c r="P22" s="15">
        <v>7</v>
      </c>
      <c r="Q22">
        <v>2012</v>
      </c>
      <c r="R22" s="104">
        <f t="array" ref="R22">C22-INDEX(L$2:L$9,$P22,1)</f>
        <v>11.34348</v>
      </c>
      <c r="S22" s="104">
        <f t="array" ref="S22">D22-INDEX(M$2:M$9,$P22,1)</f>
        <v>5.4220199999999998</v>
      </c>
      <c r="T22" s="104">
        <f t="array" ref="T22">E22-INDEX(N$2:N$9,$P22,1)</f>
        <v>11.586449999999999</v>
      </c>
      <c r="AE22" t="e">
        <v>#NAME?</v>
      </c>
      <c r="AF22" t="e">
        <v>#NAME?</v>
      </c>
      <c r="AG22" t="e">
        <v>#NAME?</v>
      </c>
    </row>
    <row r="23">
      <c r="A23" s="15">
        <v>8</v>
      </c>
      <c r="B23">
        <v>2008</v>
      </c>
      <c r="C23" s="100">
        <v>7.9739199999999988</v>
      </c>
      <c r="D23" s="100">
        <v>4.01145</v>
      </c>
      <c r="E23" s="100">
        <v>8.7066099999999977</v>
      </c>
      <c r="G23">
        <f t="shared" si="1935"/>
        <v>8.2006166666666704</v>
      </c>
      <c r="H23">
        <f t="shared" si="1936"/>
        <v>3.9001466666666702</v>
      </c>
      <c r="I23">
        <f t="shared" si="1937"/>
        <v>8.8319466666666706</v>
      </c>
      <c r="P23" s="15">
        <v>8</v>
      </c>
      <c r="Q23">
        <v>2008</v>
      </c>
      <c r="R23" s="104">
        <f t="array" ref="R23">C23-INDEX(L$2:L$9,$P23,1)</f>
        <v>7.9739199999999997</v>
      </c>
      <c r="S23" s="104">
        <f t="array" ref="S23">D23-INDEX(M$2:M$9,$P23,1)</f>
        <v>4.01145</v>
      </c>
      <c r="T23" s="104">
        <f t="array" ref="T23">E23-INDEX(N$2:N$9,$P23,1)</f>
        <v>8.7066099999999995</v>
      </c>
      <c r="AE23" t="e">
        <v>#NAME?</v>
      </c>
      <c r="AF23" t="e">
        <v>#NAME?</v>
      </c>
      <c r="AG23" t="e">
        <v>#NAME?</v>
      </c>
    </row>
    <row r="24">
      <c r="A24" s="15">
        <v>8</v>
      </c>
      <c r="B24">
        <v>2010</v>
      </c>
      <c r="C24" s="100">
        <v>8.2970400000000009</v>
      </c>
      <c r="D24" s="100">
        <v>3.8803399999999999</v>
      </c>
      <c r="E24" s="100">
        <v>8.8770299999999978</v>
      </c>
      <c r="G24" t="str">
        <f t="shared" si="1935"/>
        <v/>
      </c>
      <c r="H24" t="str">
        <f t="shared" si="1936"/>
        <v/>
      </c>
      <c r="I24" t="str">
        <f t="shared" si="1937"/>
        <v/>
      </c>
      <c r="P24" s="15">
        <v>8</v>
      </c>
      <c r="Q24">
        <v>2010</v>
      </c>
      <c r="R24" s="104">
        <f t="array" ref="R24">C24-INDEX(L$2:L$9,$P24,1)</f>
        <v>8.2970400000000009</v>
      </c>
      <c r="S24" s="104">
        <f t="array" ref="S24">D24-INDEX(M$2:M$9,$P24,1)</f>
        <v>3.8803399999999999</v>
      </c>
      <c r="T24" s="104">
        <f t="array" ref="T24">E24-INDEX(N$2:N$9,$P24,1)</f>
        <v>8.8770299999999995</v>
      </c>
      <c r="AE24" t="e">
        <v>#NAME?</v>
      </c>
      <c r="AF24" t="e">
        <v>#NAME?</v>
      </c>
      <c r="AG24" t="e">
        <v>#NAME?</v>
      </c>
    </row>
    <row r="25">
      <c r="A25" s="17">
        <v>8</v>
      </c>
      <c r="B25" s="14">
        <v>2012</v>
      </c>
      <c r="C25" s="103">
        <v>8.3308900000000001</v>
      </c>
      <c r="D25" s="103">
        <v>3.8086500000000001</v>
      </c>
      <c r="E25" s="103">
        <v>8.9122000000000003</v>
      </c>
      <c r="G25" s="14" t="str">
        <f t="shared" si="1935"/>
        <v/>
      </c>
      <c r="H25" s="14" t="str">
        <f t="shared" si="1936"/>
        <v/>
      </c>
      <c r="I25" s="14" t="str">
        <f t="shared" si="1937"/>
        <v/>
      </c>
      <c r="P25" s="17">
        <v>8</v>
      </c>
      <c r="Q25" s="14">
        <v>2012</v>
      </c>
      <c r="R25" s="102">
        <f t="array" ref="R25">C25-INDEX(L$2:L$9,$P25,1)</f>
        <v>8.3308900000000001</v>
      </c>
      <c r="S25" s="102">
        <f t="array" ref="S25">D25-INDEX(M$2:M$9,$P25,1)</f>
        <v>3.8086500000000001</v>
      </c>
      <c r="T25" s="102">
        <f t="array" ref="T25">E25-INDEX(N$2:N$9,$P25,1)</f>
        <v>8.9122000000000003</v>
      </c>
      <c r="AE25" s="14" t="e">
        <v>#NAME?</v>
      </c>
      <c r="AF25" s="14" t="e">
        <v>#NAME?</v>
      </c>
      <c r="AG25" s="14" t="e">
        <v>#NAME?</v>
      </c>
    </row>
    <row r="27">
      <c r="R27" s="32" t="e">
        <v>#NAME?</v>
      </c>
      <c r="S27" s="32"/>
      <c r="T27" s="32"/>
    </row>
    <row r="51">
      <c r="R51" s="14"/>
      <c r="S51" s="14"/>
      <c r="T51" s="14"/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0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2" width="5.0892860000000004"/>
    <col customWidth="1" min="3" max="4" style="100" width="8.7232140000000005"/>
    <col customWidth="1" min="5" max="12" style="100" width="4"/>
    <col customWidth="1" min="13" max="13" style="100" width="8.7232140000000005"/>
    <col customWidth="1" min="15" max="15" width="17"/>
  </cols>
  <sheetData>
    <row r="1">
      <c r="A1" s="17" t="s">
        <v>667</v>
      </c>
      <c r="B1" s="17" t="s">
        <v>616</v>
      </c>
      <c r="C1" s="105" t="s">
        <v>668</v>
      </c>
      <c r="D1" s="105" t="s">
        <v>669</v>
      </c>
      <c r="E1" s="17">
        <v>1</v>
      </c>
      <c r="F1" s="17">
        <f>E1+1</f>
        <v>2</v>
      </c>
      <c r="G1" s="17">
        <f>F1+1</f>
        <v>3</v>
      </c>
      <c r="H1" s="17">
        <f>G1+1</f>
        <v>4</v>
      </c>
      <c r="I1" s="17">
        <f>H1+1</f>
        <v>5</v>
      </c>
      <c r="J1" s="17">
        <f>I1+1</f>
        <v>6</v>
      </c>
      <c r="K1" s="17">
        <f>J1+1</f>
        <v>7</v>
      </c>
      <c r="L1" s="17">
        <f>K1+1</f>
        <v>8</v>
      </c>
      <c r="M1" s="105" t="s">
        <v>670</v>
      </c>
      <c r="O1" t="s">
        <v>369</v>
      </c>
      <c r="W1" t="e">
        <v>#NAME?</v>
      </c>
    </row>
    <row r="2">
      <c r="A2" s="15">
        <v>1</v>
      </c>
      <c r="B2" s="31">
        <v>2008</v>
      </c>
      <c r="C2" s="104">
        <v>8.9138500000000001</v>
      </c>
      <c r="D2" s="104">
        <v>3.1783199999999998</v>
      </c>
      <c r="E2" s="15">
        <f t="shared" ref="E2:E9" si="1949">IF($A2=E$1,1,0)</f>
        <v>1</v>
      </c>
      <c r="F2" s="15">
        <f t="shared" ref="F2:F9" si="1950">IF($A2=F$1,1,0)</f>
        <v>0</v>
      </c>
      <c r="G2" s="15">
        <f t="shared" ref="G2:G9" si="1951">IF($A2=G$1,1,0)</f>
        <v>0</v>
      </c>
      <c r="H2" s="15">
        <f t="shared" ref="H2:H9" si="1952">IF($A2=H$1,1,0)</f>
        <v>0</v>
      </c>
      <c r="I2" s="15">
        <f t="shared" ref="I2:I9" si="1953">IF($A2=I$1,1,0)</f>
        <v>0</v>
      </c>
      <c r="J2" s="15">
        <f t="shared" ref="J2:J9" si="1954">IF($A2=J$1,1,0)</f>
        <v>0</v>
      </c>
      <c r="K2" s="15">
        <f t="shared" ref="K2:K9" si="1955">IF($A2=K$1,1,0)</f>
        <v>0</v>
      </c>
      <c r="L2" s="15">
        <f t="shared" ref="L2:L9" si="1956">IF($A2=L$1,1,0)</f>
        <v>0</v>
      </c>
      <c r="M2" s="104">
        <v>9.5985499999999995</v>
      </c>
      <c r="AI2" t="e">
        <v>#NAME?</v>
      </c>
      <c r="AJ2" s="7"/>
    </row>
    <row r="3">
      <c r="A3" s="15">
        <v>1</v>
      </c>
      <c r="B3">
        <v>2010</v>
      </c>
      <c r="C3" s="100">
        <v>8.9305000000000003</v>
      </c>
      <c r="D3" s="100">
        <v>3.4831300000000001</v>
      </c>
      <c r="E3" s="15">
        <f t="shared" si="1949"/>
        <v>1</v>
      </c>
      <c r="F3" s="15">
        <f t="shared" si="1950"/>
        <v>0</v>
      </c>
      <c r="G3" s="15">
        <f t="shared" si="1951"/>
        <v>0</v>
      </c>
      <c r="H3" s="15">
        <f t="shared" si="1952"/>
        <v>0</v>
      </c>
      <c r="I3" s="15">
        <f t="shared" si="1953"/>
        <v>0</v>
      </c>
      <c r="J3" s="15">
        <f t="shared" si="1954"/>
        <v>0</v>
      </c>
      <c r="K3" s="15">
        <f t="shared" si="1955"/>
        <v>0</v>
      </c>
      <c r="L3" s="15">
        <f t="shared" si="1956"/>
        <v>0</v>
      </c>
      <c r="M3" s="100">
        <v>9.7047600000000003</v>
      </c>
      <c r="O3" s="49" t="s">
        <v>371</v>
      </c>
      <c r="P3" s="49"/>
      <c r="R3" s="49"/>
      <c r="S3" s="49"/>
      <c r="AJ3" s="10"/>
    </row>
    <row r="4">
      <c r="A4" s="15">
        <v>1</v>
      </c>
      <c r="B4">
        <v>2012</v>
      </c>
      <c r="C4" s="100">
        <v>9.0151000000000003</v>
      </c>
      <c r="D4" s="100">
        <v>3.83507</v>
      </c>
      <c r="E4" s="15">
        <f t="shared" si="1949"/>
        <v>1</v>
      </c>
      <c r="F4" s="15">
        <f t="shared" si="1950"/>
        <v>0</v>
      </c>
      <c r="G4" s="15">
        <f t="shared" si="1951"/>
        <v>0</v>
      </c>
      <c r="H4" s="15">
        <f t="shared" si="1952"/>
        <v>0</v>
      </c>
      <c r="I4" s="15">
        <f t="shared" si="1953"/>
        <v>0</v>
      </c>
      <c r="J4" s="15">
        <f t="shared" si="1954"/>
        <v>0</v>
      </c>
      <c r="K4" s="15">
        <f t="shared" si="1955"/>
        <v>0</v>
      </c>
      <c r="L4" s="15">
        <f t="shared" si="1956"/>
        <v>0</v>
      </c>
      <c r="M4" s="100">
        <v>9.8431499999999996</v>
      </c>
      <c r="O4" t="s">
        <v>373</v>
      </c>
      <c r="P4" t="e">
        <f>SQRT(P5)</f>
        <v>#NAME?</v>
      </c>
      <c r="R4" t="s">
        <v>374</v>
      </c>
      <c r="S4" t="e">
        <f>P8*LN(Q13/P8)+2*P12</f>
        <v>#NAME?</v>
      </c>
      <c r="AJ4" s="10"/>
    </row>
    <row r="5">
      <c r="A5" s="15">
        <v>2</v>
      </c>
      <c r="B5">
        <v>2008</v>
      </c>
      <c r="C5" s="100">
        <v>7.7774000000000001</v>
      </c>
      <c r="D5" s="100">
        <v>4.2269300000000003</v>
      </c>
      <c r="E5" s="15">
        <f t="shared" si="1949"/>
        <v>0</v>
      </c>
      <c r="F5" s="15">
        <f t="shared" si="1950"/>
        <v>1</v>
      </c>
      <c r="G5" s="15">
        <f t="shared" si="1951"/>
        <v>0</v>
      </c>
      <c r="H5" s="15">
        <f t="shared" si="1952"/>
        <v>0</v>
      </c>
      <c r="I5" s="15">
        <f t="shared" si="1953"/>
        <v>0</v>
      </c>
      <c r="J5" s="15">
        <f t="shared" si="1954"/>
        <v>0</v>
      </c>
      <c r="K5" s="15">
        <f t="shared" si="1955"/>
        <v>0</v>
      </c>
      <c r="L5" s="15">
        <f t="shared" si="1956"/>
        <v>0</v>
      </c>
      <c r="M5" s="100">
        <v>8.1265400000000003</v>
      </c>
      <c r="O5" t="s">
        <v>375</v>
      </c>
      <c r="P5" t="e">
        <f>Q12/Q14</f>
        <v>#NAME?</v>
      </c>
      <c r="R5" t="s">
        <v>376</v>
      </c>
      <c r="S5" t="e">
        <f>S4+2*(P12+1)*(P12+2)/(P8-P12-2)</f>
        <v>#NAME?</v>
      </c>
      <c r="AJ5" s="10"/>
    </row>
    <row r="6">
      <c r="A6" s="15">
        <v>2</v>
      </c>
      <c r="B6">
        <v>2010</v>
      </c>
      <c r="C6" s="100">
        <v>7.2570899999999998</v>
      </c>
      <c r="D6" s="100">
        <v>4.43757</v>
      </c>
      <c r="E6" s="15">
        <f t="shared" si="1949"/>
        <v>0</v>
      </c>
      <c r="F6" s="15">
        <f t="shared" si="1950"/>
        <v>1</v>
      </c>
      <c r="G6" s="15">
        <f t="shared" si="1951"/>
        <v>0</v>
      </c>
      <c r="H6" s="15">
        <f t="shared" si="1952"/>
        <v>0</v>
      </c>
      <c r="I6" s="15">
        <f t="shared" si="1953"/>
        <v>0</v>
      </c>
      <c r="J6" s="15">
        <f t="shared" si="1954"/>
        <v>0</v>
      </c>
      <c r="K6" s="15">
        <f t="shared" si="1955"/>
        <v>0</v>
      </c>
      <c r="L6" s="15">
        <f t="shared" si="1956"/>
        <v>0</v>
      </c>
      <c r="M6" s="100">
        <v>8.5477600000000002</v>
      </c>
      <c r="O6" t="s">
        <v>378</v>
      </c>
      <c r="P6" t="e">
        <f>1-(1-P5)*P8/(P8-P12)</f>
        <v>#NAME?</v>
      </c>
      <c r="R6" s="14" t="s">
        <v>379</v>
      </c>
      <c r="S6" s="14" t="e">
        <f>P8*LN(Q13/P8)+P12*LN(P8)</f>
        <v>#NAME?</v>
      </c>
      <c r="AJ6" s="10"/>
    </row>
    <row r="7">
      <c r="A7" s="15">
        <v>2</v>
      </c>
      <c r="B7">
        <v>2012</v>
      </c>
      <c r="C7" s="100">
        <v>9.3117599999999996</v>
      </c>
      <c r="D7" s="100">
        <v>4.3935599999999999</v>
      </c>
      <c r="E7" s="15">
        <f t="shared" si="1949"/>
        <v>0</v>
      </c>
      <c r="F7" s="15">
        <f t="shared" si="1950"/>
        <v>1</v>
      </c>
      <c r="G7" s="15">
        <f t="shared" si="1951"/>
        <v>0</v>
      </c>
      <c r="H7" s="15">
        <f t="shared" si="1952"/>
        <v>0</v>
      </c>
      <c r="I7" s="15">
        <f t="shared" si="1953"/>
        <v>0</v>
      </c>
      <c r="J7" s="15">
        <f t="shared" si="1954"/>
        <v>0</v>
      </c>
      <c r="K7" s="15">
        <f t="shared" si="1955"/>
        <v>0</v>
      </c>
      <c r="L7" s="15">
        <f t="shared" si="1956"/>
        <v>0</v>
      </c>
      <c r="M7" s="100">
        <v>7.7975899999999987</v>
      </c>
      <c r="O7" t="s">
        <v>381</v>
      </c>
      <c r="P7" t="e">
        <f>SQRT(R13)</f>
        <v>#NAME?</v>
      </c>
      <c r="AJ7" s="13"/>
    </row>
    <row r="8">
      <c r="A8" s="15">
        <v>3</v>
      </c>
      <c r="B8">
        <v>2008</v>
      </c>
      <c r="C8" s="100">
        <v>5.54861</v>
      </c>
      <c r="D8" s="100">
        <v>4.8532000000000002</v>
      </c>
      <c r="E8" s="15">
        <f t="shared" si="1949"/>
        <v>0</v>
      </c>
      <c r="F8" s="15">
        <f t="shared" si="1950"/>
        <v>0</v>
      </c>
      <c r="G8" s="15">
        <f t="shared" si="1951"/>
        <v>1</v>
      </c>
      <c r="H8" s="15">
        <f t="shared" si="1952"/>
        <v>0</v>
      </c>
      <c r="I8" s="15">
        <f t="shared" si="1953"/>
        <v>0</v>
      </c>
      <c r="J8" s="15">
        <f t="shared" si="1954"/>
        <v>0</v>
      </c>
      <c r="K8" s="15">
        <f t="shared" si="1955"/>
        <v>0</v>
      </c>
      <c r="L8" s="15">
        <f t="shared" si="1956"/>
        <v>0</v>
      </c>
      <c r="M8" s="100">
        <v>7.3699300000000001</v>
      </c>
      <c r="O8" s="14" t="s">
        <v>383</v>
      </c>
      <c r="P8" s="14">
        <f>COUNT(M2:M25)</f>
        <v>24</v>
      </c>
    </row>
    <row r="9">
      <c r="A9" s="15">
        <v>3</v>
      </c>
      <c r="B9">
        <v>2010</v>
      </c>
      <c r="C9" s="100">
        <v>6.5219699999999996</v>
      </c>
      <c r="D9" s="100">
        <v>4.1636499999999996</v>
      </c>
      <c r="E9" s="15">
        <f t="shared" si="1949"/>
        <v>0</v>
      </c>
      <c r="F9" s="15">
        <f t="shared" si="1950"/>
        <v>0</v>
      </c>
      <c r="G9" s="15">
        <f t="shared" si="1951"/>
        <v>1</v>
      </c>
      <c r="H9" s="15">
        <f t="shared" si="1952"/>
        <v>0</v>
      </c>
      <c r="I9" s="15">
        <f t="shared" si="1953"/>
        <v>0</v>
      </c>
      <c r="J9" s="15">
        <f t="shared" si="1954"/>
        <v>0</v>
      </c>
      <c r="K9" s="15">
        <f t="shared" si="1955"/>
        <v>0</v>
      </c>
      <c r="L9" s="15">
        <f t="shared" si="1956"/>
        <v>0</v>
      </c>
      <c r="M9" s="100">
        <v>7.4622799999999998</v>
      </c>
    </row>
    <row r="10">
      <c r="A10" s="15">
        <v>3</v>
      </c>
      <c r="B10">
        <v>2012</v>
      </c>
      <c r="C10" s="100">
        <v>7.8148999999999988</v>
      </c>
      <c r="D10" s="100">
        <v>3.9602599999999999</v>
      </c>
      <c r="E10" s="15">
        <f t="shared" ref="E10:E25" si="1957">IF($A10=E$1,1,0)</f>
        <v>0</v>
      </c>
      <c r="F10" s="15">
        <f t="shared" ref="F10:F25" si="1958">IF($A10=F$1,1,0)</f>
        <v>0</v>
      </c>
      <c r="G10" s="15">
        <f t="shared" ref="G10:G25" si="1959">IF($A10=G$1,1,0)</f>
        <v>1</v>
      </c>
      <c r="H10" s="15">
        <f t="shared" ref="H10:H25" si="1960">IF($A10=H$1,1,0)</f>
        <v>0</v>
      </c>
      <c r="I10" s="15">
        <f t="shared" ref="I10:I25" si="1961">IF($A10=I$1,1,0)</f>
        <v>0</v>
      </c>
      <c r="J10" s="15">
        <f t="shared" ref="J10:J25" si="1962">IF($A10=J$1,1,0)</f>
        <v>0</v>
      </c>
      <c r="K10" s="15">
        <f t="shared" ref="K10:K25" si="1963">IF($A10=K$1,1,0)</f>
        <v>0</v>
      </c>
      <c r="L10" s="15">
        <f t="shared" ref="L10:L25" si="1964">IF($A10=L$1,1,0)</f>
        <v>0</v>
      </c>
      <c r="M10" s="100">
        <v>7.4587300000000001</v>
      </c>
      <c r="O10" t="s">
        <v>384</v>
      </c>
      <c r="S10" s="15" t="s">
        <v>385</v>
      </c>
      <c r="T10" s="15">
        <v>5.0000000000000003e-02</v>
      </c>
    </row>
    <row r="11">
      <c r="A11" s="15">
        <v>4</v>
      </c>
      <c r="B11">
        <v>2008</v>
      </c>
      <c r="C11" s="100">
        <v>9.3600399999999997</v>
      </c>
      <c r="D11" s="100">
        <v>4.67028</v>
      </c>
      <c r="E11" s="15">
        <f t="shared" si="1957"/>
        <v>0</v>
      </c>
      <c r="F11" s="15">
        <f t="shared" si="1958"/>
        <v>0</v>
      </c>
      <c r="G11" s="15">
        <f t="shared" si="1959"/>
        <v>0</v>
      </c>
      <c r="H11" s="15">
        <f t="shared" si="1960"/>
        <v>1</v>
      </c>
      <c r="I11" s="15">
        <f t="shared" si="1961"/>
        <v>0</v>
      </c>
      <c r="J11" s="15">
        <f t="shared" si="1962"/>
        <v>0</v>
      </c>
      <c r="K11" s="15">
        <f t="shared" si="1963"/>
        <v>0</v>
      </c>
      <c r="L11" s="15">
        <f t="shared" si="1964"/>
        <v>0</v>
      </c>
      <c r="M11" s="100">
        <v>8.25901</v>
      </c>
      <c r="O11" s="24"/>
      <c r="P11" s="24" t="s">
        <v>294</v>
      </c>
      <c r="Q11" s="24" t="s">
        <v>386</v>
      </c>
      <c r="R11" s="24" t="s">
        <v>387</v>
      </c>
      <c r="S11" s="24" t="s">
        <v>388</v>
      </c>
      <c r="T11" s="24" t="s">
        <v>189</v>
      </c>
      <c r="U11" s="24" t="s">
        <v>204</v>
      </c>
    </row>
    <row r="12">
      <c r="A12" s="15">
        <v>4</v>
      </c>
      <c r="B12">
        <v>2010</v>
      </c>
      <c r="C12" s="100">
        <v>9.2680000000000007</v>
      </c>
      <c r="D12" s="100">
        <v>4.5826599999999997</v>
      </c>
      <c r="E12" s="15">
        <f t="shared" si="1957"/>
        <v>0</v>
      </c>
      <c r="F12" s="15">
        <f t="shared" si="1958"/>
        <v>0</v>
      </c>
      <c r="G12" s="15">
        <f t="shared" si="1959"/>
        <v>0</v>
      </c>
      <c r="H12" s="15">
        <f t="shared" si="1960"/>
        <v>1</v>
      </c>
      <c r="I12" s="15">
        <f t="shared" si="1961"/>
        <v>0</v>
      </c>
      <c r="J12" s="15">
        <f t="shared" si="1962"/>
        <v>0</v>
      </c>
      <c r="K12" s="15">
        <f t="shared" si="1963"/>
        <v>0</v>
      </c>
      <c r="L12" s="15">
        <f t="shared" si="1964"/>
        <v>0</v>
      </c>
      <c r="M12" s="100">
        <v>8.7930200000000003</v>
      </c>
      <c r="O12" t="s">
        <v>389</v>
      </c>
      <c r="P12">
        <f>COUNT(C2:L2)</f>
        <v>10</v>
      </c>
      <c r="Q12" t="e">
        <f>SUMSQ(MMULT(C2:L25,P17:P26))</f>
        <v>#NAME?</v>
      </c>
      <c r="R12" t="e">
        <f t="shared" ref="R12:R13" si="1965">Q12/P12</f>
        <v>#NAME?</v>
      </c>
      <c r="S12" t="e">
        <f>R12/R13</f>
        <v>#NAME?</v>
      </c>
      <c r="T12" t="e">
        <f>_xlfn.F.DIST.RT(S12,P12,P13)</f>
        <v>#NAME?</v>
      </c>
      <c r="U12" s="15" t="e">
        <f>IF(T12&lt;T10,"yes","no")</f>
        <v>#NAME?</v>
      </c>
    </row>
    <row r="13">
      <c r="A13" s="15">
        <v>4</v>
      </c>
      <c r="B13">
        <v>2012</v>
      </c>
      <c r="C13" s="100">
        <v>8.339439999999998</v>
      </c>
      <c r="D13" s="100">
        <v>4.3226500000000003</v>
      </c>
      <c r="E13" s="15">
        <f t="shared" si="1957"/>
        <v>0</v>
      </c>
      <c r="F13" s="15">
        <f t="shared" si="1958"/>
        <v>0</v>
      </c>
      <c r="G13" s="15">
        <f t="shared" si="1959"/>
        <v>0</v>
      </c>
      <c r="H13" s="15">
        <f t="shared" si="1960"/>
        <v>1</v>
      </c>
      <c r="I13" s="15">
        <f t="shared" si="1961"/>
        <v>0</v>
      </c>
      <c r="J13" s="15">
        <f t="shared" si="1962"/>
        <v>0</v>
      </c>
      <c r="K13" s="15">
        <f t="shared" si="1963"/>
        <v>0</v>
      </c>
      <c r="L13" s="15">
        <f t="shared" si="1964"/>
        <v>0</v>
      </c>
      <c r="M13" s="100">
        <v>9.0330300000000001</v>
      </c>
      <c r="O13" t="s">
        <v>342</v>
      </c>
      <c r="P13">
        <f>P14-P12</f>
        <v>14</v>
      </c>
      <c r="Q13" t="e">
        <f>Q14-Q12</f>
        <v>#NAME?</v>
      </c>
      <c r="R13" t="e">
        <f t="shared" si="1965"/>
        <v>#NAME?</v>
      </c>
    </row>
    <row r="14">
      <c r="A14" s="15">
        <v>5</v>
      </c>
      <c r="B14">
        <v>2008</v>
      </c>
      <c r="C14" s="100">
        <v>7.7452199999999989</v>
      </c>
      <c r="D14" s="100">
        <v>5.2744900000000001</v>
      </c>
      <c r="E14" s="15">
        <f t="shared" si="1957"/>
        <v>0</v>
      </c>
      <c r="F14" s="15">
        <f t="shared" si="1958"/>
        <v>0</v>
      </c>
      <c r="G14" s="15">
        <f t="shared" si="1959"/>
        <v>0</v>
      </c>
      <c r="H14" s="15">
        <f t="shared" si="1960"/>
        <v>0</v>
      </c>
      <c r="I14" s="15">
        <f t="shared" si="1961"/>
        <v>1</v>
      </c>
      <c r="J14" s="15">
        <f t="shared" si="1962"/>
        <v>0</v>
      </c>
      <c r="K14" s="15">
        <f t="shared" si="1963"/>
        <v>0</v>
      </c>
      <c r="L14" s="15">
        <f t="shared" si="1964"/>
        <v>0</v>
      </c>
      <c r="M14" s="100">
        <v>4.0256800000000004</v>
      </c>
      <c r="O14" s="14" t="s">
        <v>390</v>
      </c>
      <c r="P14" s="14">
        <f>P8</f>
        <v>24</v>
      </c>
      <c r="Q14" s="14">
        <f>SUMSQ(M2:M25)</f>
        <v>1608.67851763862</v>
      </c>
      <c r="R14" s="14"/>
      <c r="S14" s="14"/>
      <c r="T14" s="14"/>
      <c r="U14" s="14"/>
    </row>
    <row r="15">
      <c r="A15" s="15">
        <v>5</v>
      </c>
      <c r="B15">
        <v>2010</v>
      </c>
      <c r="C15" s="100">
        <v>8.0331600000000005</v>
      </c>
      <c r="D15" s="100">
        <v>5.3003099999999996</v>
      </c>
      <c r="E15" s="15">
        <f t="shared" si="1957"/>
        <v>0</v>
      </c>
      <c r="F15" s="15">
        <f t="shared" si="1958"/>
        <v>0</v>
      </c>
      <c r="G15" s="15">
        <f t="shared" si="1959"/>
        <v>0</v>
      </c>
      <c r="H15" s="15">
        <f t="shared" si="1960"/>
        <v>0</v>
      </c>
      <c r="I15" s="15">
        <f t="shared" si="1961"/>
        <v>1</v>
      </c>
      <c r="J15" s="15">
        <f t="shared" si="1962"/>
        <v>0</v>
      </c>
      <c r="K15" s="15">
        <f t="shared" si="1963"/>
        <v>0</v>
      </c>
      <c r="L15" s="15">
        <f t="shared" si="1964"/>
        <v>0</v>
      </c>
      <c r="M15" s="100">
        <v>3.9876100000000001</v>
      </c>
    </row>
    <row r="16">
      <c r="A16" s="15">
        <v>5</v>
      </c>
      <c r="B16">
        <v>2012</v>
      </c>
      <c r="C16" s="100">
        <v>8.1939399999999978</v>
      </c>
      <c r="D16" s="100">
        <v>5.43994</v>
      </c>
      <c r="E16" s="15">
        <f t="shared" si="1957"/>
        <v>0</v>
      </c>
      <c r="F16" s="15">
        <f t="shared" si="1958"/>
        <v>0</v>
      </c>
      <c r="G16" s="15">
        <f t="shared" si="1959"/>
        <v>0</v>
      </c>
      <c r="H16" s="15">
        <f t="shared" si="1960"/>
        <v>0</v>
      </c>
      <c r="I16" s="15">
        <f t="shared" si="1961"/>
        <v>1</v>
      </c>
      <c r="J16" s="15">
        <f t="shared" si="1962"/>
        <v>0</v>
      </c>
      <c r="K16" s="15">
        <f t="shared" si="1963"/>
        <v>0</v>
      </c>
      <c r="L16" s="15">
        <f t="shared" si="1964"/>
        <v>0</v>
      </c>
      <c r="M16" s="100">
        <v>3.9613900000000002</v>
      </c>
      <c r="O16" s="24"/>
      <c r="P16" s="24" t="s">
        <v>391</v>
      </c>
      <c r="Q16" s="24" t="s">
        <v>392</v>
      </c>
      <c r="R16" s="24" t="s">
        <v>393</v>
      </c>
      <c r="S16" s="24" t="s">
        <v>189</v>
      </c>
      <c r="T16" s="24" t="s">
        <v>215</v>
      </c>
      <c r="U16" s="24" t="s">
        <v>216</v>
      </c>
    </row>
    <row r="17">
      <c r="A17" s="15">
        <v>6</v>
      </c>
      <c r="B17">
        <v>2008</v>
      </c>
      <c r="C17" s="100">
        <v>9.9685299999999994</v>
      </c>
      <c r="D17" s="100">
        <v>9.5003200000000003</v>
      </c>
      <c r="E17" s="15">
        <f t="shared" si="1957"/>
        <v>0</v>
      </c>
      <c r="F17" s="15">
        <f t="shared" si="1958"/>
        <v>0</v>
      </c>
      <c r="G17" s="15">
        <f t="shared" si="1959"/>
        <v>0</v>
      </c>
      <c r="H17" s="15">
        <f t="shared" si="1960"/>
        <v>0</v>
      </c>
      <c r="I17" s="15">
        <f t="shared" si="1961"/>
        <v>0</v>
      </c>
      <c r="J17" s="15">
        <f t="shared" si="1962"/>
        <v>1</v>
      </c>
      <c r="K17" s="15">
        <f t="shared" si="1963"/>
        <v>0</v>
      </c>
      <c r="L17" s="15">
        <f t="shared" si="1964"/>
        <v>0</v>
      </c>
      <c r="M17" s="100">
        <v>4.317361</v>
      </c>
      <c r="O17" t="str">
        <f t="array" ref="O17:O26">TRANSPOSE(C1:L1)</f>
        <v>lcapital</v>
      </c>
      <c r="P17" t="e">
        <v>#NAME?</v>
      </c>
      <c r="Q17" t="e">
        <v>#NAME?</v>
      </c>
      <c r="R17" t="e">
        <f t="shared" ref="R17:R26" si="1966">P17/Q17</f>
        <v>#NAME?</v>
      </c>
      <c r="S17" t="e">
        <f t="shared" ref="S17:S26" si="1967">_xlfn.T.DIST.2T(ABS(R17),$P$13)</f>
        <v>#NAME?</v>
      </c>
      <c r="T17" t="e">
        <f t="shared" ref="T17:T26" si="1968">P17-_xlfn.T.INV.2T(T$10,$P$13)*Q17</f>
        <v>#NAME?</v>
      </c>
      <c r="U17" t="e">
        <f t="shared" ref="U17:U26" si="1969">P17+_xlfn.T.INV.2T(T$10,$P$13)*Q17</f>
        <v>#NAME?</v>
      </c>
    </row>
    <row r="18">
      <c r="A18" s="15">
        <v>6</v>
      </c>
      <c r="B18">
        <v>2010</v>
      </c>
      <c r="C18" s="100">
        <v>10.104450000000002</v>
      </c>
      <c r="D18" s="100">
        <v>10.0128</v>
      </c>
      <c r="E18" s="15">
        <f t="shared" si="1957"/>
        <v>0</v>
      </c>
      <c r="F18" s="15">
        <f t="shared" si="1958"/>
        <v>0</v>
      </c>
      <c r="G18" s="15">
        <f t="shared" si="1959"/>
        <v>0</v>
      </c>
      <c r="H18" s="15">
        <f t="shared" si="1960"/>
        <v>0</v>
      </c>
      <c r="I18" s="15">
        <f t="shared" si="1961"/>
        <v>0</v>
      </c>
      <c r="J18" s="15">
        <f t="shared" si="1962"/>
        <v>1</v>
      </c>
      <c r="K18" s="15">
        <f t="shared" si="1963"/>
        <v>0</v>
      </c>
      <c r="L18" s="15">
        <f t="shared" si="1964"/>
        <v>0</v>
      </c>
      <c r="M18" s="100">
        <v>4.1316800000000002</v>
      </c>
      <c r="O18" t="str">
        <f/>
        <v>llabor</v>
      </c>
      <c r="P18" t="e">
        <v>#NAME?</v>
      </c>
      <c r="Q18" t="e">
        <v>#NAME?</v>
      </c>
      <c r="R18" t="e">
        <f t="shared" si="1966"/>
        <v>#NAME?</v>
      </c>
      <c r="S18" t="e">
        <f t="shared" si="1967"/>
        <v>#NAME?</v>
      </c>
      <c r="T18" t="e">
        <f t="shared" si="1968"/>
        <v>#NAME?</v>
      </c>
      <c r="U18" t="e">
        <f t="shared" si="1969"/>
        <v>#NAME?</v>
      </c>
    </row>
    <row r="19">
      <c r="A19" s="15">
        <v>6</v>
      </c>
      <c r="B19">
        <v>2012</v>
      </c>
      <c r="C19" s="100">
        <v>10.053470000000001</v>
      </c>
      <c r="D19" s="100">
        <v>10.02397</v>
      </c>
      <c r="E19" s="15">
        <f t="shared" si="1957"/>
        <v>0</v>
      </c>
      <c r="F19" s="15">
        <f t="shared" si="1958"/>
        <v>0</v>
      </c>
      <c r="G19" s="15">
        <f t="shared" si="1959"/>
        <v>0</v>
      </c>
      <c r="H19" s="15">
        <f t="shared" si="1960"/>
        <v>0</v>
      </c>
      <c r="I19" s="15">
        <f t="shared" si="1961"/>
        <v>0</v>
      </c>
      <c r="J19" s="15">
        <f t="shared" si="1962"/>
        <v>1</v>
      </c>
      <c r="K19" s="15">
        <f t="shared" si="1963"/>
        <v>0</v>
      </c>
      <c r="L19" s="15">
        <f t="shared" si="1964"/>
        <v>0</v>
      </c>
      <c r="M19" s="100">
        <v>3.8739499999999998</v>
      </c>
      <c r="O19">
        <f/>
        <v>1</v>
      </c>
      <c r="P19" t="e">
        <v>#NAME?</v>
      </c>
      <c r="Q19" t="e">
        <v>#NAME?</v>
      </c>
      <c r="R19" t="e">
        <f t="shared" si="1966"/>
        <v>#NAME?</v>
      </c>
      <c r="S19" t="e">
        <f t="shared" si="1967"/>
        <v>#NAME?</v>
      </c>
      <c r="T19" t="e">
        <f t="shared" si="1968"/>
        <v>#NAME?</v>
      </c>
      <c r="U19" t="e">
        <f t="shared" si="1969"/>
        <v>#NAME?</v>
      </c>
    </row>
    <row r="20">
      <c r="A20" s="15">
        <v>7</v>
      </c>
      <c r="B20">
        <v>2008</v>
      </c>
      <c r="C20" s="100">
        <v>10.553680000000002</v>
      </c>
      <c r="D20" s="100">
        <v>5.0047100000000002</v>
      </c>
      <c r="E20" s="15">
        <f t="shared" si="1957"/>
        <v>0</v>
      </c>
      <c r="F20" s="15">
        <f t="shared" si="1958"/>
        <v>0</v>
      </c>
      <c r="G20" s="15">
        <f t="shared" si="1959"/>
        <v>0</v>
      </c>
      <c r="H20" s="15">
        <f t="shared" si="1960"/>
        <v>0</v>
      </c>
      <c r="I20" s="15">
        <f t="shared" si="1961"/>
        <v>0</v>
      </c>
      <c r="J20" s="15">
        <f t="shared" si="1962"/>
        <v>0</v>
      </c>
      <c r="K20" s="15">
        <f t="shared" si="1963"/>
        <v>1</v>
      </c>
      <c r="L20" s="15">
        <f t="shared" si="1964"/>
        <v>0</v>
      </c>
      <c r="M20" s="100">
        <v>11.523529999999999</v>
      </c>
      <c r="O20">
        <f/>
        <v>2</v>
      </c>
      <c r="P20" t="e">
        <v>#NAME?</v>
      </c>
      <c r="Q20" t="e">
        <v>#NAME?</v>
      </c>
      <c r="R20" t="e">
        <f t="shared" si="1966"/>
        <v>#NAME?</v>
      </c>
      <c r="S20" t="e">
        <f t="shared" si="1967"/>
        <v>#NAME?</v>
      </c>
      <c r="T20" t="e">
        <f t="shared" si="1968"/>
        <v>#NAME?</v>
      </c>
      <c r="U20" t="e">
        <f t="shared" si="1969"/>
        <v>#NAME?</v>
      </c>
    </row>
    <row r="21">
      <c r="A21" s="15">
        <v>7</v>
      </c>
      <c r="B21">
        <v>2010</v>
      </c>
      <c r="C21" s="100">
        <v>10.749910000000002</v>
      </c>
      <c r="D21" s="100">
        <v>5.1787400000000003</v>
      </c>
      <c r="E21" s="15">
        <f t="shared" si="1957"/>
        <v>0</v>
      </c>
      <c r="F21" s="15">
        <f t="shared" si="1958"/>
        <v>0</v>
      </c>
      <c r="G21" s="15">
        <f t="shared" si="1959"/>
        <v>0</v>
      </c>
      <c r="H21" s="15">
        <f t="shared" si="1960"/>
        <v>0</v>
      </c>
      <c r="I21" s="15">
        <f t="shared" si="1961"/>
        <v>0</v>
      </c>
      <c r="J21" s="15">
        <f t="shared" si="1962"/>
        <v>0</v>
      </c>
      <c r="K21" s="15">
        <f t="shared" si="1963"/>
        <v>1</v>
      </c>
      <c r="L21" s="15">
        <f t="shared" si="1964"/>
        <v>0</v>
      </c>
      <c r="M21" s="100">
        <v>11.54217</v>
      </c>
      <c r="O21">
        <f/>
        <v>3</v>
      </c>
      <c r="P21" t="e">
        <v>#NAME?</v>
      </c>
      <c r="Q21" t="e">
        <v>#NAME?</v>
      </c>
      <c r="R21" t="e">
        <f t="shared" si="1966"/>
        <v>#NAME?</v>
      </c>
      <c r="S21" t="e">
        <f t="shared" si="1967"/>
        <v>#NAME?</v>
      </c>
      <c r="T21" t="e">
        <f t="shared" si="1968"/>
        <v>#NAME?</v>
      </c>
      <c r="U21" t="e">
        <f t="shared" si="1969"/>
        <v>#NAME?</v>
      </c>
    </row>
    <row r="22">
      <c r="A22" s="15">
        <v>7</v>
      </c>
      <c r="B22">
        <v>2012</v>
      </c>
      <c r="C22" s="100">
        <v>11.34348</v>
      </c>
      <c r="D22" s="100">
        <v>5.4220199999999998</v>
      </c>
      <c r="E22" s="15">
        <f t="shared" si="1957"/>
        <v>0</v>
      </c>
      <c r="F22" s="15">
        <f t="shared" si="1958"/>
        <v>0</v>
      </c>
      <c r="G22" s="15">
        <f t="shared" si="1959"/>
        <v>0</v>
      </c>
      <c r="H22" s="15">
        <f t="shared" si="1960"/>
        <v>0</v>
      </c>
      <c r="I22" s="15">
        <f t="shared" si="1961"/>
        <v>0</v>
      </c>
      <c r="J22" s="15">
        <f t="shared" si="1962"/>
        <v>0</v>
      </c>
      <c r="K22" s="15">
        <f t="shared" si="1963"/>
        <v>1</v>
      </c>
      <c r="L22" s="15">
        <f t="shared" si="1964"/>
        <v>0</v>
      </c>
      <c r="M22" s="100">
        <v>11.586449999999999</v>
      </c>
      <c r="O22">
        <f/>
        <v>4</v>
      </c>
      <c r="P22" t="e">
        <v>#NAME?</v>
      </c>
      <c r="Q22" t="e">
        <v>#NAME?</v>
      </c>
      <c r="R22" t="e">
        <f t="shared" si="1966"/>
        <v>#NAME?</v>
      </c>
      <c r="S22" t="e">
        <f t="shared" si="1967"/>
        <v>#NAME?</v>
      </c>
      <c r="T22" t="e">
        <f t="shared" si="1968"/>
        <v>#NAME?</v>
      </c>
      <c r="U22" t="e">
        <f t="shared" si="1969"/>
        <v>#NAME?</v>
      </c>
    </row>
    <row r="23">
      <c r="A23" s="15">
        <v>8</v>
      </c>
      <c r="B23">
        <v>2008</v>
      </c>
      <c r="C23" s="100">
        <v>7.9739199999999988</v>
      </c>
      <c r="D23" s="100">
        <v>4.01145</v>
      </c>
      <c r="E23" s="15">
        <f t="shared" si="1957"/>
        <v>0</v>
      </c>
      <c r="F23" s="15">
        <f t="shared" si="1958"/>
        <v>0</v>
      </c>
      <c r="G23" s="15">
        <f t="shared" si="1959"/>
        <v>0</v>
      </c>
      <c r="H23" s="15">
        <f t="shared" si="1960"/>
        <v>0</v>
      </c>
      <c r="I23" s="15">
        <f t="shared" si="1961"/>
        <v>0</v>
      </c>
      <c r="J23" s="15">
        <f t="shared" si="1962"/>
        <v>0</v>
      </c>
      <c r="K23" s="15">
        <f t="shared" si="1963"/>
        <v>0</v>
      </c>
      <c r="L23" s="15">
        <f t="shared" si="1964"/>
        <v>1</v>
      </c>
      <c r="M23" s="100">
        <v>8.7066099999999977</v>
      </c>
      <c r="O23">
        <f/>
        <v>5</v>
      </c>
      <c r="P23" t="e">
        <v>#NAME?</v>
      </c>
      <c r="Q23" t="e">
        <v>#NAME?</v>
      </c>
      <c r="R23" t="e">
        <f t="shared" si="1966"/>
        <v>#NAME?</v>
      </c>
      <c r="S23" t="e">
        <f t="shared" si="1967"/>
        <v>#NAME?</v>
      </c>
      <c r="T23" t="e">
        <f t="shared" si="1968"/>
        <v>#NAME?</v>
      </c>
      <c r="U23" t="e">
        <f t="shared" si="1969"/>
        <v>#NAME?</v>
      </c>
    </row>
    <row r="24">
      <c r="A24" s="15">
        <v>8</v>
      </c>
      <c r="B24">
        <v>2010</v>
      </c>
      <c r="C24" s="100">
        <v>8.2970400000000009</v>
      </c>
      <c r="D24" s="100">
        <v>3.8803399999999999</v>
      </c>
      <c r="E24" s="15">
        <f t="shared" si="1957"/>
        <v>0</v>
      </c>
      <c r="F24" s="15">
        <f t="shared" si="1958"/>
        <v>0</v>
      </c>
      <c r="G24" s="15">
        <f t="shared" si="1959"/>
        <v>0</v>
      </c>
      <c r="H24" s="15">
        <f t="shared" si="1960"/>
        <v>0</v>
      </c>
      <c r="I24" s="15">
        <f t="shared" si="1961"/>
        <v>0</v>
      </c>
      <c r="J24" s="15">
        <f t="shared" si="1962"/>
        <v>0</v>
      </c>
      <c r="K24" s="15">
        <f t="shared" si="1963"/>
        <v>0</v>
      </c>
      <c r="L24" s="15">
        <f t="shared" si="1964"/>
        <v>1</v>
      </c>
      <c r="M24" s="100">
        <v>8.8770299999999978</v>
      </c>
      <c r="O24">
        <f/>
        <v>6</v>
      </c>
      <c r="P24" t="e">
        <v>#NAME?</v>
      </c>
      <c r="Q24" t="e">
        <v>#NAME?</v>
      </c>
      <c r="R24" t="e">
        <f t="shared" si="1966"/>
        <v>#NAME?</v>
      </c>
      <c r="S24" t="e">
        <f t="shared" si="1967"/>
        <v>#NAME?</v>
      </c>
      <c r="T24" t="e">
        <f t="shared" si="1968"/>
        <v>#NAME?</v>
      </c>
      <c r="U24" t="e">
        <f t="shared" si="1969"/>
        <v>#NAME?</v>
      </c>
    </row>
    <row r="25">
      <c r="A25" s="17">
        <v>8</v>
      </c>
      <c r="B25" s="14">
        <v>2012</v>
      </c>
      <c r="C25" s="103">
        <v>8.3308900000000001</v>
      </c>
      <c r="D25" s="103">
        <v>3.8086500000000001</v>
      </c>
      <c r="E25" s="17">
        <f t="shared" si="1957"/>
        <v>0</v>
      </c>
      <c r="F25" s="17">
        <f t="shared" si="1958"/>
        <v>0</v>
      </c>
      <c r="G25" s="17">
        <f t="shared" si="1959"/>
        <v>0</v>
      </c>
      <c r="H25" s="17">
        <f t="shared" si="1960"/>
        <v>0</v>
      </c>
      <c r="I25" s="17">
        <f t="shared" si="1961"/>
        <v>0</v>
      </c>
      <c r="J25" s="17">
        <f t="shared" si="1962"/>
        <v>0</v>
      </c>
      <c r="K25" s="17">
        <f t="shared" si="1963"/>
        <v>0</v>
      </c>
      <c r="L25" s="17">
        <f t="shared" si="1964"/>
        <v>1</v>
      </c>
      <c r="M25" s="103">
        <v>8.9122000000000003</v>
      </c>
      <c r="O25">
        <f/>
        <v>7</v>
      </c>
      <c r="P25" t="e">
        <v>#NAME?</v>
      </c>
      <c r="Q25" t="e">
        <v>#NAME?</v>
      </c>
      <c r="R25" t="e">
        <f t="shared" si="1966"/>
        <v>#NAME?</v>
      </c>
      <c r="S25" t="e">
        <f t="shared" si="1967"/>
        <v>#NAME?</v>
      </c>
      <c r="T25" t="e">
        <f t="shared" si="1968"/>
        <v>#NAME?</v>
      </c>
      <c r="U25" t="e">
        <f t="shared" si="1969"/>
        <v>#NAME?</v>
      </c>
    </row>
    <row r="26">
      <c r="O26" s="14">
        <f/>
        <v>8</v>
      </c>
      <c r="P26" s="14" t="e">
        <v>#NAME?</v>
      </c>
      <c r="Q26" s="14" t="e">
        <v>#NAME?</v>
      </c>
      <c r="R26" s="14" t="e">
        <f t="shared" si="1966"/>
        <v>#NAME?</v>
      </c>
      <c r="S26" s="14" t="e">
        <f t="shared" si="1967"/>
        <v>#NAME?</v>
      </c>
      <c r="T26" s="14" t="e">
        <f t="shared" si="1968"/>
        <v>#NAME?</v>
      </c>
      <c r="U26" s="14" t="e">
        <f t="shared" si="1969"/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10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S1" activeCellId="0" sqref="S1"/>
    </sheetView>
  </sheetViews>
  <sheetFormatPr defaultRowHeight="14.25"/>
  <cols>
    <col customWidth="1" min="1" max="2" width="5.0892860000000004"/>
    <col customWidth="1" min="3" max="5" style="100" width="8.7232140000000005"/>
    <col hidden="1" min="6" max="10" width="8.6696430000000007"/>
    <col customWidth="1" hidden="1" min="11" max="11" width="15.8125"/>
    <col hidden="1" min="12" max="18" width="8.6696430000000007"/>
    <col customWidth="1" min="19" max="19" width="4.6339290000000002"/>
    <col customWidth="1" min="20" max="20" width="7.4553570000000002"/>
    <col customWidth="1" min="23" max="23" width="4.6339290000000002"/>
    <col customWidth="1" min="24" max="24" width="16"/>
    <col customWidth="1" min="32" max="32" width="4.6339290000000002"/>
    <col customWidth="1" min="33" max="34" width="6.2678570000000002"/>
    <col customWidth="1" min="35" max="35" width="8.7232140000000005"/>
    <col customWidth="1" min="39" max="39" width="4.6339290000000002"/>
    <col customWidth="1" min="40" max="40" width="16.8125"/>
    <col customWidth="1" min="53" max="53" width="16"/>
  </cols>
  <sheetData>
    <row r="1">
      <c r="A1" s="17" t="s">
        <v>667</v>
      </c>
      <c r="B1" s="17" t="s">
        <v>616</v>
      </c>
      <c r="C1" s="105" t="s">
        <v>668</v>
      </c>
      <c r="D1" s="105" t="s">
        <v>669</v>
      </c>
      <c r="E1" s="105" t="s">
        <v>670</v>
      </c>
      <c r="G1" s="32" t="e">
        <v>#NAME?</v>
      </c>
      <c r="H1" s="32"/>
      <c r="I1" s="32"/>
      <c r="K1" t="s">
        <v>369</v>
      </c>
      <c r="T1" s="32" t="e">
        <v>#NAME?</v>
      </c>
      <c r="U1" s="32"/>
      <c r="V1" s="32"/>
      <c r="X1" t="s">
        <v>369</v>
      </c>
      <c r="AG1" s="17" t="s">
        <v>667</v>
      </c>
      <c r="AH1" s="17" t="s">
        <v>616</v>
      </c>
      <c r="AI1" s="17" t="s">
        <v>675</v>
      </c>
      <c r="AJ1" s="105" t="s">
        <v>668</v>
      </c>
      <c r="AK1" s="105" t="s">
        <v>669</v>
      </c>
      <c r="AL1" s="105" t="s">
        <v>670</v>
      </c>
      <c r="AN1" t="s">
        <v>676</v>
      </c>
      <c r="AV1" s="14" t="e">
        <v>#NAME?</v>
      </c>
      <c r="AW1" s="14" t="e">
        <v>#NAME?</v>
      </c>
      <c r="AX1" s="14" t="e">
        <v>#NAME?</v>
      </c>
      <c r="AY1" s="14" t="e">
        <v>#NAME?</v>
      </c>
      <c r="BA1" t="s">
        <v>677</v>
      </c>
    </row>
    <row r="2">
      <c r="A2" s="15">
        <v>1</v>
      </c>
      <c r="B2" s="31">
        <v>2008</v>
      </c>
      <c r="C2" s="104">
        <v>8.9138500000000001</v>
      </c>
      <c r="D2" s="104">
        <v>3.1783199999999998</v>
      </c>
      <c r="E2" s="104">
        <v>9.5985499999999995</v>
      </c>
      <c r="AG2" s="15">
        <v>1</v>
      </c>
      <c r="AH2" s="31">
        <v>2008</v>
      </c>
      <c r="AI2" s="31" t="e">
        <f>1-U17</f>
        <v>#NAME?</v>
      </c>
      <c r="AJ2" s="104" t="e">
        <f t="array" ref="AJ2">C2-$U$17*INDEX(T$2:T$9,$AG2,1)</f>
        <v>#NAME?</v>
      </c>
      <c r="AK2" s="104" t="e">
        <f t="array" ref="AK2">D2-$U$17*INDEX(U$2:U$9,$AG2,1)</f>
        <v>#NAME?</v>
      </c>
      <c r="AL2" s="104" t="e">
        <f t="array" ref="AL2">E2-$U$17*INDEX(V$2:V$9,$AG2,1)</f>
        <v>#NAME?</v>
      </c>
      <c r="AV2" t="e">
        <v>#NAME?</v>
      </c>
      <c r="AW2" t="e">
        <v>#NAME?</v>
      </c>
      <c r="AX2" t="e">
        <v>#NAME?</v>
      </c>
      <c r="AY2" t="e">
        <v>#NAME?</v>
      </c>
    </row>
    <row r="3">
      <c r="A3" s="15">
        <v>1</v>
      </c>
      <c r="B3">
        <v>2010</v>
      </c>
      <c r="C3" s="100">
        <v>8.9305000000000003</v>
      </c>
      <c r="D3" s="100">
        <v>3.4831300000000001</v>
      </c>
      <c r="E3" s="100">
        <v>9.7047600000000003</v>
      </c>
      <c r="K3" s="49" t="s">
        <v>371</v>
      </c>
      <c r="L3" s="49"/>
      <c r="N3" s="49"/>
      <c r="O3" s="49"/>
      <c r="X3" s="49" t="s">
        <v>371</v>
      </c>
      <c r="Y3" s="49"/>
      <c r="AA3" s="49"/>
      <c r="AB3" s="49"/>
      <c r="AG3" s="15">
        <v>1</v>
      </c>
      <c r="AH3">
        <v>2010</v>
      </c>
      <c r="AI3" t="e">
        <f t="shared" ref="AI3:AI10" si="1970">AI2</f>
        <v>#NAME?</v>
      </c>
      <c r="AJ3" s="104" t="e">
        <f t="array" ref="AJ3">C3-$U$17*INDEX(T$2:T$9,$AG3,1)</f>
        <v>#NAME?</v>
      </c>
      <c r="AK3" s="104" t="e">
        <f t="array" ref="AK3">D3-$U$17*INDEX(U$2:U$9,$AG3,1)</f>
        <v>#NAME?</v>
      </c>
      <c r="AL3" s="104" t="e">
        <f t="array" ref="AL3">E3-$U$17*INDEX(V$2:V$9,$AG3,1)</f>
        <v>#NAME?</v>
      </c>
      <c r="AN3" s="49" t="s">
        <v>371</v>
      </c>
      <c r="AO3" s="49"/>
      <c r="AQ3" s="49"/>
      <c r="AR3" s="49"/>
      <c r="AV3" t="e">
        <v>#NAME?</v>
      </c>
      <c r="AW3" t="e">
        <v>#NAME?</v>
      </c>
      <c r="AX3" t="e">
        <v>#NAME?</v>
      </c>
      <c r="AY3" t="e">
        <v>#NAME?</v>
      </c>
      <c r="BA3" s="49" t="s">
        <v>371</v>
      </c>
      <c r="BB3" s="49"/>
      <c r="BD3" s="49"/>
      <c r="BE3" s="49"/>
    </row>
    <row r="4">
      <c r="A4" s="15">
        <v>1</v>
      </c>
      <c r="B4">
        <v>2012</v>
      </c>
      <c r="C4" s="100">
        <v>9.0151000000000003</v>
      </c>
      <c r="D4" s="100">
        <v>3.83507</v>
      </c>
      <c r="E4" s="100">
        <v>9.8431499999999996</v>
      </c>
      <c r="K4" t="s">
        <v>373</v>
      </c>
      <c r="L4" t="e">
        <f>SQRT(L5)</f>
        <v>#VALUE!</v>
      </c>
      <c r="N4" t="s">
        <v>374</v>
      </c>
      <c r="O4" t="e">
        <f>L8*LN(M13/L8)+2*L12</f>
        <v>#VALUE!</v>
      </c>
      <c r="X4" t="s">
        <v>373</v>
      </c>
      <c r="Y4" t="e">
        <f>SQRT(Y5)</f>
        <v>#NAME?</v>
      </c>
      <c r="AA4" t="s">
        <v>374</v>
      </c>
      <c r="AB4" t="e">
        <f>Y8*LN(Z13/Y8)+2*(Y12+1)</f>
        <v>#DIV/0!</v>
      </c>
      <c r="AG4" s="15">
        <v>1</v>
      </c>
      <c r="AH4">
        <v>2012</v>
      </c>
      <c r="AI4" t="e">
        <f t="shared" si="1970"/>
        <v>#NAME?</v>
      </c>
      <c r="AJ4" s="104" t="e">
        <f t="array" ref="AJ4">C4-$U$17*INDEX(T$2:T$9,$AG4,1)</f>
        <v>#NAME?</v>
      </c>
      <c r="AK4" s="104" t="e">
        <f t="array" ref="AK4">D4-$U$17*INDEX(U$2:U$9,$AG4,1)</f>
        <v>#NAME?</v>
      </c>
      <c r="AL4" s="104" t="e">
        <f t="array" ref="AL4">E4-$U$17*INDEX(V$2:V$9,$AG4,1)</f>
        <v>#NAME?</v>
      </c>
      <c r="AN4" t="s">
        <v>373</v>
      </c>
      <c r="AO4" t="e">
        <f>SQRT(AO5)</f>
        <v>#NAME?</v>
      </c>
      <c r="AQ4" t="s">
        <v>374</v>
      </c>
      <c r="AR4" t="e">
        <f>AO8*LN(AP13/AO8)+2*AO12</f>
        <v>#NAME?</v>
      </c>
      <c r="AV4" t="e">
        <v>#NAME?</v>
      </c>
      <c r="AW4" t="e">
        <v>#NAME?</v>
      </c>
      <c r="AX4" t="e">
        <v>#NAME?</v>
      </c>
      <c r="AY4" t="e">
        <v>#NAME?</v>
      </c>
      <c r="BA4" t="s">
        <v>373</v>
      </c>
      <c r="BB4" t="e">
        <f>SQRT(BB5)</f>
        <v>#NAME?</v>
      </c>
      <c r="BD4" t="s">
        <v>374</v>
      </c>
      <c r="BE4" t="e">
        <f>BB8*LN(BC13/BB8)+2*BB12</f>
        <v>#NAME?</v>
      </c>
    </row>
    <row r="5">
      <c r="A5" s="15">
        <v>2</v>
      </c>
      <c r="B5">
        <v>2008</v>
      </c>
      <c r="C5" s="100">
        <v>7.7774000000000001</v>
      </c>
      <c r="D5" s="100">
        <v>4.2269300000000003</v>
      </c>
      <c r="E5" s="100">
        <v>8.1265400000000003</v>
      </c>
      <c r="K5" t="s">
        <v>375</v>
      </c>
      <c r="L5" t="e">
        <f>M12/M14</f>
        <v>#VALUE!</v>
      </c>
      <c r="N5" t="s">
        <v>376</v>
      </c>
      <c r="O5" t="e">
        <f>O4+2*(L12+1)*(L12+2)/(L8-L12-2)</f>
        <v>#VALUE!</v>
      </c>
      <c r="X5" t="s">
        <v>375</v>
      </c>
      <c r="Y5" t="e">
        <f>Z12/Z14</f>
        <v>#NAME?</v>
      </c>
      <c r="AA5" t="s">
        <v>376</v>
      </c>
      <c r="AB5" t="e">
        <f>AB4+2*(Y12+2)*(Y12+3)/(Y8-Y12-3)</f>
        <v>#DIV/0!</v>
      </c>
      <c r="AG5" s="15">
        <v>2</v>
      </c>
      <c r="AH5">
        <v>2008</v>
      </c>
      <c r="AI5" t="e">
        <f t="shared" si="1970"/>
        <v>#NAME?</v>
      </c>
      <c r="AJ5" s="104" t="e">
        <f t="array" ref="AJ5">C5-$U$17*INDEX(T$2:T$9,$AG5,1)</f>
        <v>#NAME?</v>
      </c>
      <c r="AK5" s="104" t="e">
        <f t="array" ref="AK5">D5-$U$17*INDEX(U$2:U$9,$AG5,1)</f>
        <v>#NAME?</v>
      </c>
      <c r="AL5" s="104" t="e">
        <f t="array" ref="AL5">E5-$U$17*INDEX(V$2:V$9,$AG5,1)</f>
        <v>#NAME?</v>
      </c>
      <c r="AN5" t="s">
        <v>375</v>
      </c>
      <c r="AO5" t="e">
        <f>AP12/AP14</f>
        <v>#NAME?</v>
      </c>
      <c r="AQ5" t="s">
        <v>376</v>
      </c>
      <c r="AR5" t="e">
        <f>AR4+2*(AO12+1)*(AO12+2)/(AO8-AO12-2)</f>
        <v>#NAME?</v>
      </c>
      <c r="AV5" t="e">
        <v>#NAME?</v>
      </c>
      <c r="AW5" t="e">
        <v>#NAME?</v>
      </c>
      <c r="AX5" t="e">
        <v>#NAME?</v>
      </c>
      <c r="AY5" t="e">
        <v>#NAME?</v>
      </c>
      <c r="BA5" t="s">
        <v>375</v>
      </c>
      <c r="BB5" t="e">
        <f>BC12/BC14</f>
        <v>#NAME?</v>
      </c>
      <c r="BD5" t="s">
        <v>376</v>
      </c>
      <c r="BE5" t="e">
        <f>BE4+2*(BB12+1)*(BB12+2)/(BB8-BB12-2)</f>
        <v>#NAME?</v>
      </c>
    </row>
    <row r="6">
      <c r="A6" s="15">
        <v>2</v>
      </c>
      <c r="B6">
        <v>2010</v>
      </c>
      <c r="C6" s="100">
        <v>7.2570899999999998</v>
      </c>
      <c r="D6" s="100">
        <v>4.43757</v>
      </c>
      <c r="E6" s="100">
        <v>8.5477600000000002</v>
      </c>
      <c r="K6" t="s">
        <v>378</v>
      </c>
      <c r="L6" t="e">
        <f>1-(1-L5)*L8/(L8-L12)</f>
        <v>#VALUE!</v>
      </c>
      <c r="N6" s="14" t="s">
        <v>379</v>
      </c>
      <c r="O6" s="14" t="e">
        <f>L8*LN(M13/L8)+L12*LN(L8)</f>
        <v>#VALUE!</v>
      </c>
      <c r="X6" t="s">
        <v>378</v>
      </c>
      <c r="Y6" t="e">
        <f>1-(1-Y5)*(Y8-1)/(Y8-Y12-1)</f>
        <v>#NAME?</v>
      </c>
      <c r="AA6" s="14" t="s">
        <v>395</v>
      </c>
      <c r="AB6" s="14" t="e">
        <f>Y8*LN(Z13/Y8)+(Y12+1)*LN(Y8)</f>
        <v>#DIV/0!</v>
      </c>
      <c r="AG6" s="15">
        <v>2</v>
      </c>
      <c r="AH6">
        <v>2010</v>
      </c>
      <c r="AI6" t="e">
        <f t="shared" si="1970"/>
        <v>#NAME?</v>
      </c>
      <c r="AJ6" s="104" t="e">
        <f t="array" ref="AJ6">C6-$U$17*INDEX(T$2:T$9,$AG6,1)</f>
        <v>#NAME?</v>
      </c>
      <c r="AK6" s="104" t="e">
        <f t="array" ref="AK6">D6-$U$17*INDEX(U$2:U$9,$AG6,1)</f>
        <v>#NAME?</v>
      </c>
      <c r="AL6" s="104" t="e">
        <f t="array" ref="AL6">E6-$U$17*INDEX(V$2:V$9,$AG6,1)</f>
        <v>#NAME?</v>
      </c>
      <c r="AN6" t="s">
        <v>378</v>
      </c>
      <c r="AO6" t="e">
        <f>1-(1-AO5)*AO8/(AO8-AO12)</f>
        <v>#NAME?</v>
      </c>
      <c r="AQ6" s="14" t="s">
        <v>379</v>
      </c>
      <c r="AR6" s="14" t="e">
        <f>AO8*LN(AP13/AO8)+AO12*LN(AO8)</f>
        <v>#NAME?</v>
      </c>
      <c r="AV6" t="e">
        <v>#NAME?</v>
      </c>
      <c r="AW6" t="e">
        <v>#NAME?</v>
      </c>
      <c r="AX6" t="e">
        <v>#NAME?</v>
      </c>
      <c r="AY6" t="e">
        <v>#NAME?</v>
      </c>
      <c r="BA6" t="s">
        <v>378</v>
      </c>
      <c r="BB6" t="e">
        <f>1-(1-BB5)*BB8/(BB8-BB12)</f>
        <v>#NAME?</v>
      </c>
      <c r="BD6" s="14" t="s">
        <v>379</v>
      </c>
      <c r="BE6" s="14" t="e">
        <f>BB8*LN(BC13/BB8)+BB12*LN(BB8)</f>
        <v>#NAME?</v>
      </c>
    </row>
    <row r="7">
      <c r="A7" s="15">
        <v>2</v>
      </c>
      <c r="B7">
        <v>2012</v>
      </c>
      <c r="C7" s="100">
        <v>9.3117599999999996</v>
      </c>
      <c r="D7" s="100">
        <v>4.3935599999999999</v>
      </c>
      <c r="E7" s="100">
        <v>7.7975899999999987</v>
      </c>
      <c r="K7" t="s">
        <v>381</v>
      </c>
      <c r="L7" t="e">
        <f>SQRT(N13)</f>
        <v>#VALUE!</v>
      </c>
      <c r="X7" t="s">
        <v>381</v>
      </c>
      <c r="Y7" t="e">
        <f>SQRT(AA13)</f>
        <v>#DIV/0!</v>
      </c>
      <c r="AG7" s="15">
        <v>2</v>
      </c>
      <c r="AH7">
        <v>2012</v>
      </c>
      <c r="AI7" t="e">
        <f t="shared" si="1970"/>
        <v>#NAME?</v>
      </c>
      <c r="AJ7" s="104" t="e">
        <f t="array" ref="AJ7">C7-$U$17*INDEX(T$2:T$9,$AG7,1)</f>
        <v>#NAME?</v>
      </c>
      <c r="AK7" s="104" t="e">
        <f t="array" ref="AK7">D7-$U$17*INDEX(U$2:U$9,$AG7,1)</f>
        <v>#NAME?</v>
      </c>
      <c r="AL7" s="104" t="e">
        <f t="array" ref="AL7">E7-$U$17*INDEX(V$2:V$9,$AG7,1)</f>
        <v>#NAME?</v>
      </c>
      <c r="AN7" t="s">
        <v>381</v>
      </c>
      <c r="AO7" t="e">
        <f>SQRT(AQ13)</f>
        <v>#NAME?</v>
      </c>
      <c r="AV7" t="e">
        <v>#NAME?</v>
      </c>
      <c r="AW7" t="e">
        <v>#NAME?</v>
      </c>
      <c r="AX7" t="e">
        <v>#NAME?</v>
      </c>
      <c r="AY7" t="e">
        <v>#NAME?</v>
      </c>
      <c r="BA7" t="s">
        <v>381</v>
      </c>
      <c r="BB7" t="e">
        <f>SQRT(BD13)</f>
        <v>#NAME?</v>
      </c>
    </row>
    <row r="8">
      <c r="A8" s="15">
        <v>3</v>
      </c>
      <c r="B8">
        <v>2008</v>
      </c>
      <c r="C8" s="100">
        <v>5.54861</v>
      </c>
      <c r="D8" s="100">
        <v>4.8532000000000002</v>
      </c>
      <c r="E8" s="100">
        <v>7.3699300000000001</v>
      </c>
      <c r="K8" s="14" t="s">
        <v>383</v>
      </c>
      <c r="L8" s="14">
        <f>COUNT(I2:I25)-O8</f>
        <v>-8</v>
      </c>
      <c r="N8" s="26" t="s">
        <v>673</v>
      </c>
      <c r="O8" s="26">
        <f>A25</f>
        <v>8</v>
      </c>
      <c r="X8" s="14" t="s">
        <v>383</v>
      </c>
      <c r="Y8" s="14">
        <f>COUNT(V2:V9)</f>
        <v>0</v>
      </c>
      <c r="AG8" s="15">
        <v>3</v>
      </c>
      <c r="AH8">
        <v>2008</v>
      </c>
      <c r="AI8" t="e">
        <f t="shared" si="1970"/>
        <v>#NAME?</v>
      </c>
      <c r="AJ8" s="104" t="e">
        <f t="array" ref="AJ8">C8-$U$17*INDEX(T$2:T$9,$AG8,1)</f>
        <v>#NAME?</v>
      </c>
      <c r="AK8" s="104" t="e">
        <f t="array" ref="AK8">D8-$U$17*INDEX(U$2:U$9,$AG8,1)</f>
        <v>#NAME?</v>
      </c>
      <c r="AL8" s="104" t="e">
        <f t="array" ref="AL8">E8-$U$17*INDEX(V$2:V$9,$AG8,1)</f>
        <v>#NAME?</v>
      </c>
      <c r="AN8" s="14" t="s">
        <v>383</v>
      </c>
      <c r="AO8" s="14">
        <f>COUNT(AL2:AL25)</f>
        <v>0</v>
      </c>
      <c r="AQ8" s="26" t="s">
        <v>678</v>
      </c>
      <c r="AR8" s="26" t="e">
        <f>U17</f>
        <v>#NAME?</v>
      </c>
      <c r="AV8" t="e">
        <v>#NAME?</v>
      </c>
      <c r="AW8" t="e">
        <v>#NAME?</v>
      </c>
      <c r="AX8" t="e">
        <v>#NAME?</v>
      </c>
      <c r="AY8" t="e">
        <v>#NAME?</v>
      </c>
      <c r="BA8" s="14" t="s">
        <v>383</v>
      </c>
      <c r="BB8" s="14">
        <f>COUNT(AY2:AY25)</f>
        <v>0</v>
      </c>
      <c r="BD8" s="26" t="s">
        <v>678</v>
      </c>
      <c r="BE8" s="26" t="e">
        <v>#NAME?</v>
      </c>
    </row>
    <row r="9">
      <c r="A9" s="15">
        <v>3</v>
      </c>
      <c r="B9">
        <v>2010</v>
      </c>
      <c r="C9" s="100">
        <v>6.5219699999999996</v>
      </c>
      <c r="D9" s="100">
        <v>4.1636499999999996</v>
      </c>
      <c r="E9" s="100">
        <v>7.4622799999999998</v>
      </c>
      <c r="T9" s="14"/>
      <c r="U9" s="14"/>
      <c r="V9" s="14"/>
      <c r="AG9" s="15">
        <v>3</v>
      </c>
      <c r="AH9">
        <v>2010</v>
      </c>
      <c r="AI9" t="e">
        <f t="shared" si="1970"/>
        <v>#NAME?</v>
      </c>
      <c r="AJ9" s="104" t="e">
        <f t="array" ref="AJ9">C9-$U$17*INDEX(T$2:T$9,$AG9,1)</f>
        <v>#NAME?</v>
      </c>
      <c r="AK9" s="104" t="e">
        <f t="array" ref="AK9">D9-$U$17*INDEX(U$2:U$9,$AG9,1)</f>
        <v>#NAME?</v>
      </c>
      <c r="AL9" s="104" t="e">
        <f t="array" ref="AL9">E9-$U$17*INDEX(V$2:V$9,$AG9,1)</f>
        <v>#NAME?</v>
      </c>
      <c r="AV9" t="e">
        <v>#NAME?</v>
      </c>
      <c r="AW9" t="e">
        <v>#NAME?</v>
      </c>
      <c r="AX9" t="e">
        <v>#NAME?</v>
      </c>
      <c r="AY9" t="e">
        <v>#NAME?</v>
      </c>
    </row>
    <row r="10">
      <c r="A10" s="15">
        <v>3</v>
      </c>
      <c r="B10">
        <v>2012</v>
      </c>
      <c r="C10" s="100">
        <v>7.8148999999999988</v>
      </c>
      <c r="D10" s="100">
        <v>3.9602599999999999</v>
      </c>
      <c r="E10" s="100">
        <v>7.4587300000000001</v>
      </c>
      <c r="K10" t="s">
        <v>384</v>
      </c>
      <c r="O10" s="15" t="s">
        <v>385</v>
      </c>
      <c r="P10" s="15">
        <v>5.0000000000000003e-02</v>
      </c>
      <c r="X10" t="s">
        <v>384</v>
      </c>
      <c r="AB10" s="15" t="s">
        <v>385</v>
      </c>
      <c r="AC10" s="15">
        <v>5.0000000000000003e-02</v>
      </c>
      <c r="AG10" s="15">
        <v>3</v>
      </c>
      <c r="AH10">
        <v>2012</v>
      </c>
      <c r="AI10" t="e">
        <f t="shared" si="1970"/>
        <v>#NAME?</v>
      </c>
      <c r="AJ10" s="104" t="e">
        <f t="array" ref="AJ10">C10-$U$17*INDEX(T$2:T$9,$AG10,1)</f>
        <v>#NAME?</v>
      </c>
      <c r="AK10" s="104" t="e">
        <f t="array" ref="AK10">D10-$U$17*INDEX(U$2:U$9,$AG10,1)</f>
        <v>#NAME?</v>
      </c>
      <c r="AL10" s="104" t="e">
        <f t="array" ref="AL10">E10-$U$17*INDEX(V$2:V$9,$AG10,1)</f>
        <v>#NAME?</v>
      </c>
      <c r="AN10" t="s">
        <v>384</v>
      </c>
      <c r="AR10" s="15" t="s">
        <v>385</v>
      </c>
      <c r="AS10" s="15">
        <v>5.0000000000000003e-02</v>
      </c>
      <c r="AV10" t="e">
        <v>#NAME?</v>
      </c>
      <c r="AW10" t="e">
        <v>#NAME?</v>
      </c>
      <c r="AX10" t="e">
        <v>#NAME?</v>
      </c>
      <c r="AY10" t="e">
        <v>#NAME?</v>
      </c>
      <c r="BA10" t="s">
        <v>384</v>
      </c>
      <c r="BE10" s="15" t="s">
        <v>385</v>
      </c>
      <c r="BF10" s="15">
        <v>5.0000000000000003e-02</v>
      </c>
    </row>
    <row r="11">
      <c r="A11" s="15">
        <v>4</v>
      </c>
      <c r="B11">
        <v>2008</v>
      </c>
      <c r="C11" s="100">
        <v>9.3600399999999997</v>
      </c>
      <c r="D11" s="100">
        <v>4.67028</v>
      </c>
      <c r="E11" s="100">
        <v>8.25901</v>
      </c>
      <c r="K11" s="24"/>
      <c r="L11" s="24" t="s">
        <v>294</v>
      </c>
      <c r="M11" s="24" t="s">
        <v>386</v>
      </c>
      <c r="N11" s="24" t="s">
        <v>387</v>
      </c>
      <c r="O11" s="24" t="s">
        <v>388</v>
      </c>
      <c r="P11" s="24" t="s">
        <v>189</v>
      </c>
      <c r="Q11" s="24" t="s">
        <v>204</v>
      </c>
      <c r="T11" s="54" t="s">
        <v>497</v>
      </c>
      <c r="U11" s="7">
        <f>COUNTA(B2:B4)</f>
        <v>3</v>
      </c>
      <c r="X11" s="24"/>
      <c r="Y11" s="24" t="s">
        <v>294</v>
      </c>
      <c r="Z11" s="24" t="s">
        <v>386</v>
      </c>
      <c r="AA11" s="24" t="s">
        <v>387</v>
      </c>
      <c r="AB11" s="24" t="s">
        <v>388</v>
      </c>
      <c r="AC11" s="24" t="s">
        <v>189</v>
      </c>
      <c r="AD11" s="24" t="s">
        <v>204</v>
      </c>
      <c r="AG11" s="15">
        <v>4</v>
      </c>
      <c r="AH11">
        <v>2008</v>
      </c>
      <c r="AI11" t="e">
        <f t="shared" ref="AI11:AI25" si="1971">AI10</f>
        <v>#NAME?</v>
      </c>
      <c r="AJ11" s="104" t="e">
        <f t="array" ref="AJ11">C11-$U$17*INDEX(T$2:T$9,$AG11,1)</f>
        <v>#NAME?</v>
      </c>
      <c r="AK11" s="104" t="e">
        <f t="array" ref="AK11">D11-$U$17*INDEX(U$2:U$9,$AG11,1)</f>
        <v>#NAME?</v>
      </c>
      <c r="AL11" s="104" t="e">
        <f t="array" ref="AL11">E11-$U$17*INDEX(V$2:V$9,$AG11,1)</f>
        <v>#NAME?</v>
      </c>
      <c r="AN11" s="24"/>
      <c r="AO11" s="24" t="s">
        <v>294</v>
      </c>
      <c r="AP11" s="24" t="s">
        <v>386</v>
      </c>
      <c r="AQ11" s="24" t="s">
        <v>387</v>
      </c>
      <c r="AR11" s="24" t="s">
        <v>388</v>
      </c>
      <c r="AS11" s="24" t="s">
        <v>189</v>
      </c>
      <c r="AT11" s="24" t="s">
        <v>204</v>
      </c>
      <c r="AV11" t="e">
        <v>#NAME?</v>
      </c>
      <c r="AW11" t="e">
        <v>#NAME?</v>
      </c>
      <c r="AX11" t="e">
        <v>#NAME?</v>
      </c>
      <c r="AY11" t="e">
        <v>#NAME?</v>
      </c>
      <c r="BA11" s="24"/>
      <c r="BB11" s="24" t="s">
        <v>294</v>
      </c>
      <c r="BC11" s="24" t="s">
        <v>386</v>
      </c>
      <c r="BD11" s="24" t="s">
        <v>387</v>
      </c>
      <c r="BE11" s="24" t="s">
        <v>388</v>
      </c>
      <c r="BF11" s="24" t="s">
        <v>189</v>
      </c>
      <c r="BG11" s="24" t="s">
        <v>204</v>
      </c>
    </row>
    <row r="12">
      <c r="A12" s="15">
        <v>4</v>
      </c>
      <c r="B12">
        <v>2010</v>
      </c>
      <c r="C12" s="100">
        <v>9.2680000000000007</v>
      </c>
      <c r="D12" s="100">
        <v>4.5826599999999997</v>
      </c>
      <c r="E12" s="100">
        <v>8.7930200000000003</v>
      </c>
      <c r="K12" t="s">
        <v>389</v>
      </c>
      <c r="L12">
        <f>COUNT(G2:H2)</f>
        <v>0</v>
      </c>
      <c r="M12" t="e">
        <f>SUMSQ(MMULT(G2:H25,L17:L18))</f>
        <v>#VALUE!</v>
      </c>
      <c r="N12" t="e">
        <f t="shared" ref="N12:N13" si="1972">M12/L12</f>
        <v>#VALUE!</v>
      </c>
      <c r="O12" t="e">
        <f>N12/N13</f>
        <v>#VALUE!</v>
      </c>
      <c r="P12" t="e">
        <f>_xlfn.F.DIST.RT(O12,L12,L13)</f>
        <v>#VALUE!</v>
      </c>
      <c r="Q12" s="15" t="e">
        <f>IF(P12&lt;P10,"yes","no")</f>
        <v>#VALUE!</v>
      </c>
      <c r="T12" s="54" t="s">
        <v>679</v>
      </c>
      <c r="U12" s="10" t="e">
        <f>'Demean 3'!AL13</f>
        <v>#NAME?</v>
      </c>
      <c r="X12" t="s">
        <v>389</v>
      </c>
      <c r="Y12">
        <f>COUNT(T2:U2)</f>
        <v>0</v>
      </c>
      <c r="Z12" t="e">
        <v>#NAME?</v>
      </c>
      <c r="AA12" t="e">
        <f t="shared" ref="AA12:AA13" si="1973">Z12/Y12</f>
        <v>#NAME?</v>
      </c>
      <c r="AB12" t="e">
        <f>AA12/AA13</f>
        <v>#NAME?</v>
      </c>
      <c r="AC12" t="e">
        <f>_xlfn.F.DIST.RT(AB12,Y12,Y13)</f>
        <v>#NAME?</v>
      </c>
      <c r="AD12" s="15" t="e">
        <f>IF(AC12&lt;AC10,"yes","no")</f>
        <v>#NAME?</v>
      </c>
      <c r="AG12" s="15">
        <v>4</v>
      </c>
      <c r="AH12">
        <v>2010</v>
      </c>
      <c r="AI12" t="e">
        <f t="shared" si="1971"/>
        <v>#NAME?</v>
      </c>
      <c r="AJ12" s="104" t="e">
        <f t="array" ref="AJ12">C12-$U$17*INDEX(T$2:T$9,$AG12,1)</f>
        <v>#NAME?</v>
      </c>
      <c r="AK12" s="104" t="e">
        <f t="array" ref="AK12">D12-$U$17*INDEX(U$2:U$9,$AG12,1)</f>
        <v>#NAME?</v>
      </c>
      <c r="AL12" s="104" t="e">
        <f t="array" ref="AL12">E12-$U$17*INDEX(V$2:V$9,$AG12,1)</f>
        <v>#NAME?</v>
      </c>
      <c r="AN12" t="s">
        <v>389</v>
      </c>
      <c r="AO12">
        <f>COUNT(AI2:AK2)</f>
        <v>0</v>
      </c>
      <c r="AP12" t="e">
        <f>SUMSQ(MMULT(AI2:AK25,AO17:AO19))</f>
        <v>#NAME?</v>
      </c>
      <c r="AQ12" t="e">
        <f t="shared" ref="AQ12:AQ13" si="1974">AP12/AO12</f>
        <v>#NAME?</v>
      </c>
      <c r="AR12" t="e">
        <f>AQ12/AQ13</f>
        <v>#NAME?</v>
      </c>
      <c r="AS12" t="e">
        <f>_xlfn.F.DIST.RT(AR12,AO12,AO13)</f>
        <v>#NAME?</v>
      </c>
      <c r="AT12" s="15" t="e">
        <f>IF(AS12&lt;AS10,"yes","no")</f>
        <v>#NAME?</v>
      </c>
      <c r="AV12" t="e">
        <v>#NAME?</v>
      </c>
      <c r="AW12" t="e">
        <v>#NAME?</v>
      </c>
      <c r="AX12" t="e">
        <v>#NAME?</v>
      </c>
      <c r="AY12" t="e">
        <v>#NAME?</v>
      </c>
      <c r="BA12" t="s">
        <v>389</v>
      </c>
      <c r="BB12">
        <f>COUNT(AV2:AX2)</f>
        <v>0</v>
      </c>
      <c r="BC12" t="e">
        <f>SUMSQ(MMULT(AV2:AX25,BB17:BB19))</f>
        <v>#NAME?</v>
      </c>
      <c r="BD12" t="e">
        <f t="shared" ref="BD12:BD13" si="1975">BC12/BB12</f>
        <v>#NAME?</v>
      </c>
      <c r="BE12" t="e">
        <f>BD12/BD13</f>
        <v>#NAME?</v>
      </c>
      <c r="BF12" t="e">
        <f>_xlfn.F.DIST.RT(BE12,BB12,BB13)</f>
        <v>#NAME?</v>
      </c>
      <c r="BG12" s="15" t="e">
        <f>IF(BF12&lt;BF10,"yes","no")</f>
        <v>#NAME?</v>
      </c>
    </row>
    <row r="13">
      <c r="A13" s="15">
        <v>4</v>
      </c>
      <c r="B13">
        <v>2012</v>
      </c>
      <c r="C13" s="100">
        <v>8.339439999999998</v>
      </c>
      <c r="D13" s="100">
        <v>4.3226500000000003</v>
      </c>
      <c r="E13" s="100">
        <v>9.0330300000000001</v>
      </c>
      <c r="K13" t="s">
        <v>342</v>
      </c>
      <c r="L13">
        <f>L14-L12</f>
        <v>-8</v>
      </c>
      <c r="M13" t="e">
        <f>M14-M12</f>
        <v>#VALUE!</v>
      </c>
      <c r="N13" s="106" t="e">
        <f t="shared" si="1972"/>
        <v>#VALUE!</v>
      </c>
      <c r="T13" t="s">
        <v>680</v>
      </c>
      <c r="U13" s="10" t="e">
        <f>AA13-U12/U11</f>
        <v>#DIV/0!</v>
      </c>
      <c r="X13" t="s">
        <v>342</v>
      </c>
      <c r="Y13">
        <f>Y14-Y12</f>
        <v>-1</v>
      </c>
      <c r="Z13" t="e">
        <f>Z14-Z12</f>
        <v>#DIV/0!</v>
      </c>
      <c r="AA13" t="e">
        <f t="shared" si="1973"/>
        <v>#DIV/0!</v>
      </c>
      <c r="AG13" s="15">
        <v>4</v>
      </c>
      <c r="AH13">
        <v>2012</v>
      </c>
      <c r="AI13" t="e">
        <f t="shared" si="1971"/>
        <v>#NAME?</v>
      </c>
      <c r="AJ13" s="104" t="e">
        <f t="array" ref="AJ13">C13-$U$17*INDEX(T$2:T$9,$AG13,1)</f>
        <v>#NAME?</v>
      </c>
      <c r="AK13" s="104" t="e">
        <f t="array" ref="AK13">D13-$U$17*INDEX(U$2:U$9,$AG13,1)</f>
        <v>#NAME?</v>
      </c>
      <c r="AL13" s="104" t="e">
        <f t="array" ref="AL13">E13-$U$17*INDEX(V$2:V$9,$AG13,1)</f>
        <v>#NAME?</v>
      </c>
      <c r="AN13" t="s">
        <v>342</v>
      </c>
      <c r="AO13">
        <f>AO14-AO12</f>
        <v>0</v>
      </c>
      <c r="AP13" t="e">
        <f>AP14-AP12</f>
        <v>#NAME?</v>
      </c>
      <c r="AQ13" t="e">
        <f t="shared" si="1974"/>
        <v>#NAME?</v>
      </c>
      <c r="AV13" t="e">
        <v>#NAME?</v>
      </c>
      <c r="AW13" t="e">
        <v>#NAME?</v>
      </c>
      <c r="AX13" t="e">
        <v>#NAME?</v>
      </c>
      <c r="AY13" t="e">
        <v>#NAME?</v>
      </c>
      <c r="BA13" t="s">
        <v>342</v>
      </c>
      <c r="BB13">
        <f>BB14-BB12</f>
        <v>0</v>
      </c>
      <c r="BC13" t="e">
        <f>BC14-BC12</f>
        <v>#NAME?</v>
      </c>
      <c r="BD13" t="e">
        <f t="shared" si="1975"/>
        <v>#NAME?</v>
      </c>
    </row>
    <row r="14">
      <c r="A14" s="15">
        <v>5</v>
      </c>
      <c r="B14">
        <v>2008</v>
      </c>
      <c r="C14" s="100">
        <v>7.7452199999999989</v>
      </c>
      <c r="D14" s="100">
        <v>5.2744900000000001</v>
      </c>
      <c r="E14" s="100">
        <v>4.0256800000000004</v>
      </c>
      <c r="K14" s="14" t="s">
        <v>390</v>
      </c>
      <c r="L14" s="14">
        <f>L8</f>
        <v>-8</v>
      </c>
      <c r="M14" s="14">
        <f>SUMSQ(I2:I25)</f>
        <v>0</v>
      </c>
      <c r="N14" s="14"/>
      <c r="O14" s="14"/>
      <c r="P14" s="14"/>
      <c r="Q14" s="14"/>
      <c r="T14" t="s">
        <v>483</v>
      </c>
      <c r="U14" s="13" t="e">
        <f>1-SQRT(U12/(U12+U11*U13))</f>
        <v>#NAME?</v>
      </c>
      <c r="X14" s="14" t="s">
        <v>390</v>
      </c>
      <c r="Y14" s="14">
        <f>Y8-1</f>
        <v>-1</v>
      </c>
      <c r="Z14" s="14" t="e">
        <f>DEVSQ(V2:V9)</f>
        <v>#DIV/0!</v>
      </c>
      <c r="AA14" s="14"/>
      <c r="AB14" s="14"/>
      <c r="AC14" s="14"/>
      <c r="AD14" s="14"/>
      <c r="AG14" s="15">
        <v>5</v>
      </c>
      <c r="AH14">
        <v>2008</v>
      </c>
      <c r="AI14" t="e">
        <f t="shared" si="1971"/>
        <v>#NAME?</v>
      </c>
      <c r="AJ14" s="104" t="e">
        <f t="array" ref="AJ14">C14-$U$17*INDEX(T$2:T$9,$AG14,1)</f>
        <v>#NAME?</v>
      </c>
      <c r="AK14" s="104" t="e">
        <f t="array" ref="AK14">D14-$U$17*INDEX(U$2:U$9,$AG14,1)</f>
        <v>#NAME?</v>
      </c>
      <c r="AL14" s="104" t="e">
        <f t="array" ref="AL14">E14-$U$17*INDEX(V$2:V$9,$AG14,1)</f>
        <v>#NAME?</v>
      </c>
      <c r="AN14" s="14" t="s">
        <v>390</v>
      </c>
      <c r="AO14" s="14">
        <f>AO8</f>
        <v>0</v>
      </c>
      <c r="AP14" s="14" t="e">
        <f>SUMSQ(AL2:AL25)</f>
        <v>#NAME?</v>
      </c>
      <c r="AQ14" s="14"/>
      <c r="AR14" s="14"/>
      <c r="AS14" s="14"/>
      <c r="AT14" s="14"/>
      <c r="AV14" t="e">
        <v>#NAME?</v>
      </c>
      <c r="AW14" t="e">
        <v>#NAME?</v>
      </c>
      <c r="AX14" t="e">
        <v>#NAME?</v>
      </c>
      <c r="AY14" t="e">
        <v>#NAME?</v>
      </c>
      <c r="BA14" s="14" t="s">
        <v>390</v>
      </c>
      <c r="BB14" s="14">
        <f>BB8</f>
        <v>0</v>
      </c>
      <c r="BC14" s="14" t="e">
        <f>SUMSQ(AY2:AY25)</f>
        <v>#NAME?</v>
      </c>
      <c r="BD14" s="14"/>
      <c r="BE14" s="14"/>
      <c r="BF14" s="14"/>
      <c r="BG14" s="14"/>
    </row>
    <row r="15">
      <c r="A15" s="15">
        <v>5</v>
      </c>
      <c r="B15">
        <v>2010</v>
      </c>
      <c r="C15" s="100">
        <v>8.0331600000000005</v>
      </c>
      <c r="D15" s="100">
        <v>5.3003099999999996</v>
      </c>
      <c r="E15" s="100">
        <v>3.9876100000000001</v>
      </c>
      <c r="AG15" s="15">
        <v>5</v>
      </c>
      <c r="AH15">
        <v>2010</v>
      </c>
      <c r="AI15" t="e">
        <f t="shared" si="1971"/>
        <v>#NAME?</v>
      </c>
      <c r="AJ15" s="104" t="e">
        <f t="array" ref="AJ15">C15-$U$17*INDEX(T$2:T$9,$AG15,1)</f>
        <v>#NAME?</v>
      </c>
      <c r="AK15" s="104" t="e">
        <f t="array" ref="AK15">D15-$U$17*INDEX(U$2:U$9,$AG15,1)</f>
        <v>#NAME?</v>
      </c>
      <c r="AL15" s="104" t="e">
        <f t="array" ref="AL15">E15-$U$17*INDEX(V$2:V$9,$AG15,1)</f>
        <v>#NAME?</v>
      </c>
      <c r="AV15" t="e">
        <v>#NAME?</v>
      </c>
      <c r="AW15" t="e">
        <v>#NAME?</v>
      </c>
      <c r="AX15" t="e">
        <v>#NAME?</v>
      </c>
      <c r="AY15" t="e">
        <v>#NAME?</v>
      </c>
    </row>
    <row r="16">
      <c r="A16" s="15">
        <v>5</v>
      </c>
      <c r="B16">
        <v>2012</v>
      </c>
      <c r="C16" s="100">
        <v>8.1939399999999978</v>
      </c>
      <c r="D16" s="100">
        <v>5.43994</v>
      </c>
      <c r="E16" s="100">
        <v>3.9613900000000002</v>
      </c>
      <c r="K16" s="24"/>
      <c r="L16" s="24" t="s">
        <v>391</v>
      </c>
      <c r="M16" s="24" t="s">
        <v>392</v>
      </c>
      <c r="N16" s="24" t="s">
        <v>393</v>
      </c>
      <c r="O16" s="24" t="s">
        <v>189</v>
      </c>
      <c r="P16" s="24" t="s">
        <v>215</v>
      </c>
      <c r="Q16" s="24" t="s">
        <v>216</v>
      </c>
      <c r="R16" s="24" t="s">
        <v>397</v>
      </c>
      <c r="X16" s="24"/>
      <c r="Y16" s="24" t="s">
        <v>391</v>
      </c>
      <c r="Z16" s="24" t="s">
        <v>392</v>
      </c>
      <c r="AA16" s="24" t="s">
        <v>393</v>
      </c>
      <c r="AB16" s="24" t="s">
        <v>189</v>
      </c>
      <c r="AC16" s="24" t="s">
        <v>215</v>
      </c>
      <c r="AD16" s="24" t="s">
        <v>216</v>
      </c>
      <c r="AE16" s="24" t="s">
        <v>397</v>
      </c>
      <c r="AG16" s="15">
        <v>5</v>
      </c>
      <c r="AH16">
        <v>2012</v>
      </c>
      <c r="AI16" t="e">
        <f t="shared" si="1971"/>
        <v>#NAME?</v>
      </c>
      <c r="AJ16" s="104" t="e">
        <f t="array" ref="AJ16">C16-$U$17*INDEX(T$2:T$9,$AG16,1)</f>
        <v>#NAME?</v>
      </c>
      <c r="AK16" s="104" t="e">
        <f t="array" ref="AK16">D16-$U$17*INDEX(U$2:U$9,$AG16,1)</f>
        <v>#NAME?</v>
      </c>
      <c r="AL16" s="104" t="e">
        <f t="array" ref="AL16">E16-$U$17*INDEX(V$2:V$9,$AG16,1)</f>
        <v>#NAME?</v>
      </c>
      <c r="AN16" s="24"/>
      <c r="AO16" s="24" t="s">
        <v>391</v>
      </c>
      <c r="AP16" s="24" t="s">
        <v>392</v>
      </c>
      <c r="AQ16" s="24" t="s">
        <v>393</v>
      </c>
      <c r="AR16" s="24" t="s">
        <v>189</v>
      </c>
      <c r="AS16" s="24" t="s">
        <v>215</v>
      </c>
      <c r="AT16" s="24" t="s">
        <v>216</v>
      </c>
      <c r="AV16" t="e">
        <v>#NAME?</v>
      </c>
      <c r="AW16" t="e">
        <v>#NAME?</v>
      </c>
      <c r="AX16" t="e">
        <v>#NAME?</v>
      </c>
      <c r="AY16" t="e">
        <v>#NAME?</v>
      </c>
      <c r="BA16" s="24"/>
      <c r="BB16" s="24" t="s">
        <v>391</v>
      </c>
      <c r="BC16" s="24" t="s">
        <v>392</v>
      </c>
      <c r="BD16" s="24" t="s">
        <v>393</v>
      </c>
      <c r="BE16" s="24" t="s">
        <v>189</v>
      </c>
      <c r="BF16" s="24" t="s">
        <v>215</v>
      </c>
      <c r="BG16" s="24" t="s">
        <v>216</v>
      </c>
    </row>
    <row r="17">
      <c r="A17" s="15">
        <v>6</v>
      </c>
      <c r="B17">
        <v>2008</v>
      </c>
      <c r="C17" s="100">
        <v>9.9685299999999994</v>
      </c>
      <c r="D17" s="100">
        <v>9.5003200000000003</v>
      </c>
      <c r="E17" s="100">
        <v>4.317361</v>
      </c>
      <c r="K17" t="e">
        <f t="array" ref="K17:K18">TRANSPOSE(G1:H1)</f>
        <v>#NAME?</v>
      </c>
      <c r="L17" t="e">
        <v>#NAME?</v>
      </c>
      <c r="M17" t="e">
        <v>#NAME?</v>
      </c>
      <c r="N17" t="e">
        <f t="shared" ref="N17:N18" si="1976">L17/M17</f>
        <v>#NAME?</v>
      </c>
      <c r="O17" t="e">
        <f t="shared" ref="O17:O18" si="1977">_xlfn.T.DIST.2T(ABS(N17),$L$13)</f>
        <v>#NAME?</v>
      </c>
      <c r="P17" t="e">
        <f t="shared" ref="P17:P18" si="1978">L17-_xlfn.T.INV.2T(P$10,$L$13)*M17</f>
        <v>#NAME?</v>
      </c>
      <c r="Q17" t="e">
        <f t="shared" ref="Q17:Q18" si="1979">L17+_xlfn.T.INV.2T(P$10,$L$13)*M17</f>
        <v>#NAME?</v>
      </c>
      <c r="R17" t="e">
        <v>#NAME?</v>
      </c>
      <c r="T17" t="s">
        <v>483</v>
      </c>
      <c r="U17" s="18" t="e">
        <v>#NAME?</v>
      </c>
      <c r="X17" t="s">
        <v>396</v>
      </c>
      <c r="Y17" t="e">
        <v>#NAME?</v>
      </c>
      <c r="Z17" t="e">
        <v>#NAME?</v>
      </c>
      <c r="AA17" t="e">
        <f t="shared" ref="AA17:AA19" si="1980">Y17/Z17</f>
        <v>#NAME?</v>
      </c>
      <c r="AB17" t="e">
        <f t="shared" ref="AB17:AB19" si="1981">_xlfn.T.DIST.2T(ABS(AA17),$Y$13)</f>
        <v>#NAME?</v>
      </c>
      <c r="AC17" t="e">
        <f t="shared" ref="AC17:AC19" si="1982">Y17-_xlfn.T.INV.2T(AC$10,$Y$13)*Z17</f>
        <v>#NAME?</v>
      </c>
      <c r="AD17" t="e">
        <f t="shared" ref="AD17:AD19" si="1983">Y17+_xlfn.T.INV.2T(AC$10,$Y$13)*Z17</f>
        <v>#NAME?</v>
      </c>
      <c r="AG17" s="15">
        <v>6</v>
      </c>
      <c r="AH17">
        <v>2008</v>
      </c>
      <c r="AI17" t="e">
        <f t="shared" si="1971"/>
        <v>#NAME?</v>
      </c>
      <c r="AJ17" s="104" t="e">
        <f t="array" ref="AJ17">C17-$U$17*INDEX(T$2:T$9,$AG17,1)</f>
        <v>#NAME?</v>
      </c>
      <c r="AK17" s="104" t="e">
        <f t="array" ref="AK17">D17-$U$17*INDEX(U$2:U$9,$AG17,1)</f>
        <v>#NAME?</v>
      </c>
      <c r="AL17" s="104" t="e">
        <f t="array" ref="AL17">E17-$U$17*INDEX(V$2:V$9,$AG17,1)</f>
        <v>#NAME?</v>
      </c>
      <c r="AN17" t="str">
        <f t="array" ref="AN17:AN19">TRANSPOSE(AI1:AK1)</f>
        <v>intercept</v>
      </c>
      <c r="AO17" t="e">
        <v>#NAME?</v>
      </c>
      <c r="AP17" t="e">
        <v>#NAME?</v>
      </c>
      <c r="AQ17" t="e">
        <f t="shared" ref="AQ17:AQ19" si="1984">AO17/AP17</f>
        <v>#NAME?</v>
      </c>
      <c r="AR17" t="e">
        <f t="shared" ref="AR17:AR19" si="1985">_xlfn.T.DIST.2T(ABS(AQ17),$AO$13)</f>
        <v>#NAME?</v>
      </c>
      <c r="AS17" t="e">
        <f t="shared" ref="AS17:AS19" si="1986">AO17-_xlfn.T.INV.2T(AS$10,$AO$13)*AP17</f>
        <v>#NAME?</v>
      </c>
      <c r="AT17" t="e">
        <f t="shared" ref="AT17:AT19" si="1987">AO17+_xlfn.T.INV.2T(AS$10,$AO$13)*AP17</f>
        <v>#NAME?</v>
      </c>
      <c r="AV17" t="e">
        <v>#NAME?</v>
      </c>
      <c r="AW17" t="e">
        <v>#NAME?</v>
      </c>
      <c r="AX17" t="e">
        <v>#NAME?</v>
      </c>
      <c r="AY17" t="e">
        <v>#NAME?</v>
      </c>
      <c r="BA17" t="e">
        <f t="array" ref="BA17:BA19">TRANSPOSE(AV1:AX1)</f>
        <v>#NAME?</v>
      </c>
      <c r="BB17" t="e">
        <v>#NAME?</v>
      </c>
      <c r="BC17" t="e">
        <v>#NAME?</v>
      </c>
      <c r="BD17" t="e">
        <f t="shared" ref="BD17:BD19" si="1988">BB17/BC17</f>
        <v>#NAME?</v>
      </c>
      <c r="BE17" t="e">
        <f t="shared" ref="BE17:BE19" si="1989">_xlfn.T.DIST.2T(ABS(BD17),$BB$13)</f>
        <v>#NAME?</v>
      </c>
      <c r="BF17" t="e">
        <f t="shared" ref="BF17:BF19" si="1990">BB17-_xlfn.T.INV.2T(BF$10,$BB$13)*BC17</f>
        <v>#NAME?</v>
      </c>
      <c r="BG17" t="e">
        <f t="shared" ref="BG17:BG19" si="1991">BB17+_xlfn.T.INV.2T(BF$10,$BB$13)*BC17</f>
        <v>#NAME?</v>
      </c>
    </row>
    <row r="18">
      <c r="A18" s="15">
        <v>6</v>
      </c>
      <c r="B18">
        <v>2010</v>
      </c>
      <c r="C18" s="100">
        <v>10.104450000000002</v>
      </c>
      <c r="D18" s="100">
        <v>10.0128</v>
      </c>
      <c r="E18" s="100">
        <v>4.1316800000000002</v>
      </c>
      <c r="K18" s="14">
        <f/>
        <v>0</v>
      </c>
      <c r="L18" s="14" t="e">
        <v>#NAME?</v>
      </c>
      <c r="M18" s="14" t="e">
        <v>#NAME?</v>
      </c>
      <c r="N18" s="14" t="e">
        <f t="shared" si="1976"/>
        <v>#NAME?</v>
      </c>
      <c r="O18" s="14" t="e">
        <f t="shared" si="1977"/>
        <v>#NAME?</v>
      </c>
      <c r="P18" s="14" t="e">
        <f t="shared" si="1978"/>
        <v>#NAME?</v>
      </c>
      <c r="Q18" s="14" t="e">
        <f t="shared" si="1979"/>
        <v>#NAME?</v>
      </c>
      <c r="R18" s="14" t="e">
        <v>#NAME?</v>
      </c>
      <c r="X18" t="e">
        <f t="array" ref="X18:X19">TRANSPOSE(T1:U1)</f>
        <v>#NAME?</v>
      </c>
      <c r="Y18" t="e">
        <v>#NAME?</v>
      </c>
      <c r="Z18" t="e">
        <v>#NAME?</v>
      </c>
      <c r="AA18" t="e">
        <f t="shared" si="1980"/>
        <v>#NAME?</v>
      </c>
      <c r="AB18" t="e">
        <f t="shared" si="1981"/>
        <v>#NAME?</v>
      </c>
      <c r="AC18" t="e">
        <f t="shared" si="1982"/>
        <v>#NAME?</v>
      </c>
      <c r="AD18" t="e">
        <f t="shared" si="1983"/>
        <v>#NAME?</v>
      </c>
      <c r="AE18" t="e">
        <v>#NAME?</v>
      </c>
      <c r="AG18" s="15">
        <v>6</v>
      </c>
      <c r="AH18">
        <v>2010</v>
      </c>
      <c r="AI18" t="e">
        <f t="shared" si="1971"/>
        <v>#NAME?</v>
      </c>
      <c r="AJ18" s="104" t="e">
        <f t="array" ref="AJ18">C18-$U$17*INDEX(T$2:T$9,$AG18,1)</f>
        <v>#NAME?</v>
      </c>
      <c r="AK18" s="104" t="e">
        <f t="array" ref="AK18">D18-$U$17*INDEX(U$2:U$9,$AG18,1)</f>
        <v>#NAME?</v>
      </c>
      <c r="AL18" s="104" t="e">
        <f t="array" ref="AL18">E18-$U$17*INDEX(V$2:V$9,$AG18,1)</f>
        <v>#NAME?</v>
      </c>
      <c r="AN18" t="str">
        <f/>
        <v>lcapital</v>
      </c>
      <c r="AO18" t="e">
        <v>#NAME?</v>
      </c>
      <c r="AP18" t="e">
        <v>#NAME?</v>
      </c>
      <c r="AQ18" t="e">
        <f t="shared" si="1984"/>
        <v>#NAME?</v>
      </c>
      <c r="AR18" t="e">
        <f t="shared" si="1985"/>
        <v>#NAME?</v>
      </c>
      <c r="AS18" t="e">
        <f t="shared" si="1986"/>
        <v>#NAME?</v>
      </c>
      <c r="AT18" t="e">
        <f t="shared" si="1987"/>
        <v>#NAME?</v>
      </c>
      <c r="AV18" t="e">
        <v>#NAME?</v>
      </c>
      <c r="AW18" t="e">
        <v>#NAME?</v>
      </c>
      <c r="AX18" t="e">
        <v>#NAME?</v>
      </c>
      <c r="AY18" t="e">
        <v>#NAME?</v>
      </c>
      <c r="BA18" t="e">
        <f/>
        <v>#NAME?</v>
      </c>
      <c r="BB18" t="e">
        <v>#NAME?</v>
      </c>
      <c r="BC18" t="e">
        <v>#NAME?</v>
      </c>
      <c r="BD18" t="e">
        <f t="shared" si="1988"/>
        <v>#NAME?</v>
      </c>
      <c r="BE18" t="e">
        <f t="shared" si="1989"/>
        <v>#NAME?</v>
      </c>
      <c r="BF18" t="e">
        <f t="shared" si="1990"/>
        <v>#NAME?</v>
      </c>
      <c r="BG18" t="e">
        <f t="shared" si="1991"/>
        <v>#NAME?</v>
      </c>
    </row>
    <row r="19">
      <c r="A19" s="15">
        <v>6</v>
      </c>
      <c r="B19">
        <v>2012</v>
      </c>
      <c r="C19" s="100">
        <v>10.053470000000001</v>
      </c>
      <c r="D19" s="100">
        <v>10.02397</v>
      </c>
      <c r="E19" s="100">
        <v>3.8739499999999998</v>
      </c>
      <c r="X19" s="14">
        <f/>
        <v>0</v>
      </c>
      <c r="Y19" s="14" t="e">
        <v>#NAME?</v>
      </c>
      <c r="Z19" s="14" t="e">
        <v>#NAME?</v>
      </c>
      <c r="AA19" s="14" t="e">
        <f t="shared" si="1980"/>
        <v>#NAME?</v>
      </c>
      <c r="AB19" s="14" t="e">
        <f t="shared" si="1981"/>
        <v>#NAME?</v>
      </c>
      <c r="AC19" s="14" t="e">
        <f t="shared" si="1982"/>
        <v>#NAME?</v>
      </c>
      <c r="AD19" s="14" t="e">
        <f t="shared" si="1983"/>
        <v>#NAME?</v>
      </c>
      <c r="AE19" s="14" t="e">
        <v>#NAME?</v>
      </c>
      <c r="AG19" s="15">
        <v>6</v>
      </c>
      <c r="AH19">
        <v>2012</v>
      </c>
      <c r="AI19" t="e">
        <f t="shared" si="1971"/>
        <v>#NAME?</v>
      </c>
      <c r="AJ19" s="104" t="e">
        <f t="array" ref="AJ19">C19-$U$17*INDEX(T$2:T$9,$AG19,1)</f>
        <v>#NAME?</v>
      </c>
      <c r="AK19" s="104" t="e">
        <f t="array" ref="AK19">D19-$U$17*INDEX(U$2:U$9,$AG19,1)</f>
        <v>#NAME?</v>
      </c>
      <c r="AL19" s="104" t="e">
        <f t="array" ref="AL19">E19-$U$17*INDEX(V$2:V$9,$AG19,1)</f>
        <v>#NAME?</v>
      </c>
      <c r="AN19" s="14" t="str">
        <f/>
        <v>llabor</v>
      </c>
      <c r="AO19" s="14" t="e">
        <v>#NAME?</v>
      </c>
      <c r="AP19" s="14" t="e">
        <v>#NAME?</v>
      </c>
      <c r="AQ19" s="14" t="e">
        <f t="shared" si="1984"/>
        <v>#NAME?</v>
      </c>
      <c r="AR19" s="14" t="e">
        <f t="shared" si="1985"/>
        <v>#NAME?</v>
      </c>
      <c r="AS19" s="14" t="e">
        <f t="shared" si="1986"/>
        <v>#NAME?</v>
      </c>
      <c r="AT19" s="14" t="e">
        <f t="shared" si="1987"/>
        <v>#NAME?</v>
      </c>
      <c r="AV19" t="e">
        <v>#NAME?</v>
      </c>
      <c r="AW19" t="e">
        <v>#NAME?</v>
      </c>
      <c r="AX19" t="e">
        <v>#NAME?</v>
      </c>
      <c r="AY19" t="e">
        <v>#NAME?</v>
      </c>
      <c r="BA19" s="14" t="e">
        <f/>
        <v>#NAME?</v>
      </c>
      <c r="BB19" s="14" t="e">
        <v>#NAME?</v>
      </c>
      <c r="BC19" s="14" t="e">
        <v>#NAME?</v>
      </c>
      <c r="BD19" s="14" t="e">
        <f t="shared" si="1988"/>
        <v>#NAME?</v>
      </c>
      <c r="BE19" s="14" t="e">
        <f t="shared" si="1989"/>
        <v>#NAME?</v>
      </c>
      <c r="BF19" s="14" t="e">
        <f t="shared" si="1990"/>
        <v>#NAME?</v>
      </c>
      <c r="BG19" s="14" t="e">
        <f t="shared" si="1991"/>
        <v>#NAME?</v>
      </c>
    </row>
    <row r="20">
      <c r="A20" s="15">
        <v>7</v>
      </c>
      <c r="B20">
        <v>2008</v>
      </c>
      <c r="C20" s="100">
        <v>10.553680000000002</v>
      </c>
      <c r="D20" s="100">
        <v>5.0047100000000002</v>
      </c>
      <c r="E20" s="100">
        <v>11.523529999999999</v>
      </c>
      <c r="AG20" s="15">
        <v>7</v>
      </c>
      <c r="AH20">
        <v>2008</v>
      </c>
      <c r="AI20" t="e">
        <f t="shared" si="1971"/>
        <v>#NAME?</v>
      </c>
      <c r="AJ20" s="104" t="e">
        <f t="array" ref="AJ20">C20-$U$17*INDEX(T$2:T$9,$AG20,1)</f>
        <v>#NAME?</v>
      </c>
      <c r="AK20" s="104" t="e">
        <f t="array" ref="AK20">D20-$U$17*INDEX(U$2:U$9,$AG20,1)</f>
        <v>#NAME?</v>
      </c>
      <c r="AL20" s="104" t="e">
        <f t="array" ref="AL20">E20-$U$17*INDEX(V$2:V$9,$AG20,1)</f>
        <v>#NAME?</v>
      </c>
      <c r="AV20" t="e">
        <v>#NAME?</v>
      </c>
      <c r="AW20" t="e">
        <v>#NAME?</v>
      </c>
      <c r="AX20" t="e">
        <v>#NAME?</v>
      </c>
      <c r="AY20" t="e">
        <v>#NAME?</v>
      </c>
    </row>
    <row r="21">
      <c r="A21" s="15">
        <v>7</v>
      </c>
      <c r="B21">
        <v>2010</v>
      </c>
      <c r="C21" s="100">
        <v>10.749910000000002</v>
      </c>
      <c r="D21" s="100">
        <v>5.1787400000000003</v>
      </c>
      <c r="E21" s="100">
        <v>11.54217</v>
      </c>
      <c r="AG21" s="15">
        <v>7</v>
      </c>
      <c r="AH21">
        <v>2010</v>
      </c>
      <c r="AI21" t="e">
        <f t="shared" si="1971"/>
        <v>#NAME?</v>
      </c>
      <c r="AJ21" s="104" t="e">
        <f t="array" ref="AJ21">C21-$U$17*INDEX(T$2:T$9,$AG21,1)</f>
        <v>#NAME?</v>
      </c>
      <c r="AK21" s="104" t="e">
        <f t="array" ref="AK21">D21-$U$17*INDEX(U$2:U$9,$AG21,1)</f>
        <v>#NAME?</v>
      </c>
      <c r="AL21" s="104" t="e">
        <f t="array" ref="AL21">E21-$U$17*INDEX(V$2:V$9,$AG21,1)</f>
        <v>#NAME?</v>
      </c>
      <c r="AV21" t="e">
        <v>#NAME?</v>
      </c>
      <c r="AW21" t="e">
        <v>#NAME?</v>
      </c>
      <c r="AX21" t="e">
        <v>#NAME?</v>
      </c>
      <c r="AY21" t="e">
        <v>#NAME?</v>
      </c>
    </row>
    <row r="22">
      <c r="A22" s="15">
        <v>7</v>
      </c>
      <c r="B22">
        <v>2012</v>
      </c>
      <c r="C22" s="100">
        <v>11.34348</v>
      </c>
      <c r="D22" s="100">
        <v>5.4220199999999998</v>
      </c>
      <c r="E22" s="100">
        <v>11.586449999999999</v>
      </c>
      <c r="AG22" s="15">
        <v>7</v>
      </c>
      <c r="AH22">
        <v>2012</v>
      </c>
      <c r="AI22" t="e">
        <f t="shared" si="1971"/>
        <v>#NAME?</v>
      </c>
      <c r="AJ22" s="104" t="e">
        <f t="array" ref="AJ22">C22-$U$17*INDEX(T$2:T$9,$AG22,1)</f>
        <v>#NAME?</v>
      </c>
      <c r="AK22" s="104" t="e">
        <f t="array" ref="AK22">D22-$U$17*INDEX(U$2:U$9,$AG22,1)</f>
        <v>#NAME?</v>
      </c>
      <c r="AL22" s="104" t="e">
        <f t="array" ref="AL22">E22-$U$17*INDEX(V$2:V$9,$AG22,1)</f>
        <v>#NAME?</v>
      </c>
      <c r="AV22" t="e">
        <v>#NAME?</v>
      </c>
      <c r="AW22" t="e">
        <v>#NAME?</v>
      </c>
      <c r="AX22" t="e">
        <v>#NAME?</v>
      </c>
      <c r="AY22" t="e">
        <v>#NAME?</v>
      </c>
    </row>
    <row r="23">
      <c r="A23" s="15">
        <v>8</v>
      </c>
      <c r="B23">
        <v>2008</v>
      </c>
      <c r="C23" s="100">
        <v>7.9739199999999988</v>
      </c>
      <c r="D23" s="100">
        <v>4.01145</v>
      </c>
      <c r="E23" s="100">
        <v>8.7066099999999977</v>
      </c>
      <c r="AG23" s="15">
        <v>8</v>
      </c>
      <c r="AH23">
        <v>2008</v>
      </c>
      <c r="AI23" t="e">
        <f t="shared" si="1971"/>
        <v>#NAME?</v>
      </c>
      <c r="AJ23" s="104" t="e">
        <f t="array" ref="AJ23">C23-$U$17*INDEX(T$2:T$9,$AG23,1)</f>
        <v>#NAME?</v>
      </c>
      <c r="AK23" s="104" t="e">
        <f t="array" ref="AK23">D23-$U$17*INDEX(U$2:U$9,$AG23,1)</f>
        <v>#NAME?</v>
      </c>
      <c r="AL23" s="104" t="e">
        <f t="array" ref="AL23">E23-$U$17*INDEX(V$2:V$9,$AG23,1)</f>
        <v>#NAME?</v>
      </c>
      <c r="AV23" t="e">
        <v>#NAME?</v>
      </c>
      <c r="AW23" t="e">
        <v>#NAME?</v>
      </c>
      <c r="AX23" t="e">
        <v>#NAME?</v>
      </c>
      <c r="AY23" t="e">
        <v>#NAME?</v>
      </c>
    </row>
    <row r="24">
      <c r="A24" s="15">
        <v>8</v>
      </c>
      <c r="B24">
        <v>2010</v>
      </c>
      <c r="C24" s="100">
        <v>8.2970400000000009</v>
      </c>
      <c r="D24" s="100">
        <v>3.8803399999999999</v>
      </c>
      <c r="E24" s="100">
        <v>8.8770299999999978</v>
      </c>
      <c r="AG24" s="15">
        <v>8</v>
      </c>
      <c r="AH24">
        <v>2010</v>
      </c>
      <c r="AI24" t="e">
        <f t="shared" si="1971"/>
        <v>#NAME?</v>
      </c>
      <c r="AJ24" s="104" t="e">
        <f t="array" ref="AJ24">C24-$U$17*INDEX(T$2:T$9,$AG24,1)</f>
        <v>#NAME?</v>
      </c>
      <c r="AK24" s="104" t="e">
        <f t="array" ref="AK24">D24-$U$17*INDEX(U$2:U$9,$AG24,1)</f>
        <v>#NAME?</v>
      </c>
      <c r="AL24" s="104" t="e">
        <f t="array" ref="AL24">E24-$U$17*INDEX(V$2:V$9,$AG24,1)</f>
        <v>#NAME?</v>
      </c>
      <c r="AV24" t="e">
        <v>#NAME?</v>
      </c>
      <c r="AW24" t="e">
        <v>#NAME?</v>
      </c>
      <c r="AX24" t="e">
        <v>#NAME?</v>
      </c>
      <c r="AY24" t="e">
        <v>#NAME?</v>
      </c>
    </row>
    <row r="25">
      <c r="A25" s="17">
        <v>8</v>
      </c>
      <c r="B25" s="14">
        <v>2012</v>
      </c>
      <c r="C25" s="103">
        <v>8.3308900000000001</v>
      </c>
      <c r="D25" s="103">
        <v>3.8086500000000001</v>
      </c>
      <c r="E25" s="103">
        <v>8.9122000000000003</v>
      </c>
      <c r="G25" s="14"/>
      <c r="H25" s="14"/>
      <c r="I25" s="14"/>
      <c r="AG25" s="17">
        <v>8</v>
      </c>
      <c r="AH25" s="14">
        <v>2012</v>
      </c>
      <c r="AI25" s="14" t="e">
        <f t="shared" si="1971"/>
        <v>#NAME?</v>
      </c>
      <c r="AJ25" s="102" t="e">
        <f t="array" ref="AJ25">C25-$U$17*INDEX(T$2:T$9,$AG25,1)</f>
        <v>#NAME?</v>
      </c>
      <c r="AK25" s="102" t="e">
        <f t="array" ref="AK25">D25-$U$17*INDEX(U$2:U$9,$AG25,1)</f>
        <v>#NAME?</v>
      </c>
      <c r="AL25" s="102" t="e">
        <f t="array" ref="AL25">E25-$U$17*INDEX(V$2:V$9,$AG25,1)</f>
        <v>#NAME?</v>
      </c>
      <c r="AV25" s="14" t="e">
        <v>#NAME?</v>
      </c>
      <c r="AW25" s="14" t="e">
        <v>#NAME?</v>
      </c>
      <c r="AX25" s="14" t="e">
        <v>#NAME?</v>
      </c>
      <c r="AY25" s="14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6.4553570000000002"/>
    <col customWidth="1" min="2" max="24" width="7.7232139999999996"/>
  </cols>
  <sheetData>
    <row r="1" ht="15" customHeight="1">
      <c r="A1" s="1" t="s">
        <v>681</v>
      </c>
      <c r="J1" t="s">
        <v>682</v>
      </c>
      <c r="R1" t="s">
        <v>683</v>
      </c>
    </row>
    <row r="3">
      <c r="B3" s="31">
        <v>0</v>
      </c>
      <c r="C3" s="31">
        <f>B3+1</f>
        <v>1</v>
      </c>
      <c r="D3" s="31">
        <f>C3+1</f>
        <v>2</v>
      </c>
      <c r="E3" s="31">
        <f>D3+1</f>
        <v>3</v>
      </c>
      <c r="F3" s="31">
        <f>E3+1</f>
        <v>4</v>
      </c>
      <c r="G3" s="31">
        <f>F3+1</f>
        <v>5</v>
      </c>
      <c r="H3" s="31">
        <f>G3+1</f>
        <v>6</v>
      </c>
      <c r="J3" s="31">
        <v>0</v>
      </c>
      <c r="K3" s="31">
        <f>J3+1</f>
        <v>1</v>
      </c>
      <c r="L3" s="31">
        <f>K3+1</f>
        <v>2</v>
      </c>
      <c r="M3" s="31">
        <f>L3+1</f>
        <v>3</v>
      </c>
      <c r="N3" s="31">
        <f>M3+1</f>
        <v>4</v>
      </c>
      <c r="O3" s="31">
        <f>N3+1</f>
        <v>5</v>
      </c>
      <c r="P3" s="31">
        <f>O3+1</f>
        <v>6</v>
      </c>
      <c r="R3" s="31">
        <v>0</v>
      </c>
      <c r="S3" s="31">
        <f>R3+1</f>
        <v>1</v>
      </c>
      <c r="T3" s="31">
        <f>S3+1</f>
        <v>2</v>
      </c>
      <c r="U3" s="31">
        <f>T3+1</f>
        <v>3</v>
      </c>
      <c r="V3" s="31">
        <f>U3+1</f>
        <v>4</v>
      </c>
      <c r="W3" s="31">
        <f>V3+1</f>
        <v>5</v>
      </c>
      <c r="X3" s="31">
        <f>W3+1</f>
        <v>6</v>
      </c>
    </row>
    <row r="4">
      <c r="A4" s="15">
        <v>0</v>
      </c>
      <c r="B4" s="5">
        <v>0</v>
      </c>
      <c r="C4" s="42">
        <v>1</v>
      </c>
      <c r="D4" s="42">
        <v>0</v>
      </c>
      <c r="E4" s="42">
        <v>0</v>
      </c>
      <c r="F4" s="42">
        <v>0</v>
      </c>
      <c r="G4" s="42">
        <v>0</v>
      </c>
      <c r="H4" s="6">
        <v>0</v>
      </c>
      <c r="J4" s="5">
        <f t="array" ref="J4:P10">MMULT(B4:H10,B4:H10)</f>
        <v>0</v>
      </c>
      <c r="K4" s="42">
        <f/>
        <v>0.16666666666666699</v>
      </c>
      <c r="L4" s="42">
        <f/>
        <v>0.83333333333333304</v>
      </c>
      <c r="M4" s="42">
        <f/>
        <v>0</v>
      </c>
      <c r="N4" s="42">
        <f/>
        <v>0</v>
      </c>
      <c r="O4" s="42">
        <f/>
        <v>0</v>
      </c>
      <c r="P4" s="6">
        <f/>
        <v>0</v>
      </c>
      <c r="R4" s="5">
        <f t="array" ref="R4:X10">MMULT(J15:P21,J15:P21)</f>
        <v>0</v>
      </c>
      <c r="S4" s="42">
        <f/>
        <v>3.5722450845928781e-06</v>
      </c>
      <c r="T4" s="42">
        <f/>
        <v>2.2683756287149998e-03</v>
      </c>
      <c r="U4" s="42">
        <f/>
        <v>6.9015775034294e-02</v>
      </c>
      <c r="V4" s="42">
        <f/>
        <v>0.36458333333333398</v>
      </c>
      <c r="W4" s="42">
        <f/>
        <v>0.45010288065843806</v>
      </c>
      <c r="X4" s="6">
        <f/>
        <v>0.11402606310013701</v>
      </c>
    </row>
    <row r="5">
      <c r="A5" s="15">
        <f t="shared" ref="A5:A10" si="1992">A4+1</f>
        <v>1</v>
      </c>
      <c r="B5" s="8">
        <v>0</v>
      </c>
      <c r="C5">
        <f>1/6</f>
        <v>0.16666666666666699</v>
      </c>
      <c r="D5">
        <f>1-C5</f>
        <v>0.83333333333333304</v>
      </c>
      <c r="E5">
        <v>0</v>
      </c>
      <c r="F5">
        <v>0</v>
      </c>
      <c r="G5">
        <v>0</v>
      </c>
      <c r="H5" s="9">
        <v>0</v>
      </c>
      <c r="J5" s="8">
        <f/>
        <v>0</v>
      </c>
      <c r="K5">
        <f/>
        <v>2.7777777777777998e-02</v>
      </c>
      <c r="L5">
        <f/>
        <v>0.41666666666666707</v>
      </c>
      <c r="M5">
        <f/>
        <v>0.55555555555555602</v>
      </c>
      <c r="N5">
        <f/>
        <v>0</v>
      </c>
      <c r="O5">
        <f/>
        <v>0</v>
      </c>
      <c r="P5" s="9">
        <f/>
        <v>0</v>
      </c>
      <c r="R5" s="8">
        <f/>
        <v>0</v>
      </c>
      <c r="S5">
        <f/>
        <v>5.9537418076573693e-07</v>
      </c>
      <c r="T5">
        <f/>
        <v>7.5910208047599999e-04</v>
      </c>
      <c r="U5">
        <f/>
        <v>3.6020137936289998e-02</v>
      </c>
      <c r="V5">
        <f/>
        <v>0.27756344307270298</v>
      </c>
      <c r="W5">
        <f/>
        <v>0.49661351165980994</v>
      </c>
      <c r="X5" s="9">
        <f/>
        <v>0.18904320987654299</v>
      </c>
    </row>
    <row r="6">
      <c r="A6" s="15">
        <f t="shared" si="1992"/>
        <v>2</v>
      </c>
      <c r="B6" s="8">
        <v>0</v>
      </c>
      <c r="C6">
        <v>0</v>
      </c>
      <c r="D6">
        <f>2/6</f>
        <v>0.33333333333333298</v>
      </c>
      <c r="E6">
        <f>1-D6</f>
        <v>0.66666666666666696</v>
      </c>
      <c r="F6">
        <v>0</v>
      </c>
      <c r="G6">
        <v>0</v>
      </c>
      <c r="H6" s="9">
        <v>0</v>
      </c>
      <c r="J6" s="8">
        <f/>
        <v>0</v>
      </c>
      <c r="K6">
        <f/>
        <v>0</v>
      </c>
      <c r="L6">
        <f/>
        <v>0.11111111111111098</v>
      </c>
      <c r="M6">
        <f/>
        <v>0.55555555555555602</v>
      </c>
      <c r="N6">
        <f/>
        <v>0.33333333333333398</v>
      </c>
      <c r="O6">
        <f/>
        <v>0</v>
      </c>
      <c r="P6" s="9">
        <f/>
        <v>0</v>
      </c>
      <c r="R6" s="8">
        <f/>
        <v>0</v>
      </c>
      <c r="S6">
        <f/>
        <v>0</v>
      </c>
      <c r="T6">
        <f/>
        <v>1.5241579027599998e-04</v>
      </c>
      <c r="U6">
        <f/>
        <v>1.5015336838896999e-02</v>
      </c>
      <c r="V6">
        <f/>
        <v>0.188150148605396</v>
      </c>
      <c r="W6">
        <f/>
        <v>0.50831618655693001</v>
      </c>
      <c r="X6" s="9">
        <f/>
        <v>0.28836591220850399</v>
      </c>
    </row>
    <row r="7">
      <c r="A7" s="15">
        <f t="shared" si="1992"/>
        <v>3</v>
      </c>
      <c r="B7" s="8">
        <v>0</v>
      </c>
      <c r="C7">
        <v>0</v>
      </c>
      <c r="D7">
        <v>0</v>
      </c>
      <c r="E7">
        <f>3/6</f>
        <v>0.5</v>
      </c>
      <c r="F7">
        <f>1-E7</f>
        <v>0.5</v>
      </c>
      <c r="G7">
        <v>0</v>
      </c>
      <c r="H7" s="9">
        <v>0</v>
      </c>
      <c r="J7" s="8">
        <f/>
        <v>0</v>
      </c>
      <c r="K7">
        <f/>
        <v>0</v>
      </c>
      <c r="L7">
        <f/>
        <v>0</v>
      </c>
      <c r="M7">
        <f/>
        <v>0.25</v>
      </c>
      <c r="N7">
        <f/>
        <v>0.58333333333333404</v>
      </c>
      <c r="O7">
        <f/>
        <v>0.16666666666666699</v>
      </c>
      <c r="P7" s="9">
        <f/>
        <v>0</v>
      </c>
      <c r="R7" s="8">
        <f/>
        <v>0</v>
      </c>
      <c r="S7">
        <f/>
        <v>0</v>
      </c>
      <c r="T7">
        <f/>
        <v>0</v>
      </c>
      <c r="U7">
        <f/>
        <v>3.90625e-03</v>
      </c>
      <c r="V7">
        <f/>
        <v>0.10533657693187</v>
      </c>
      <c r="W7">
        <f/>
        <v>0.47531221422039505</v>
      </c>
      <c r="X7" s="9">
        <f/>
        <v>0.41544495884773702</v>
      </c>
    </row>
    <row r="8">
      <c r="A8" s="15">
        <f t="shared" si="1992"/>
        <v>4</v>
      </c>
      <c r="B8" s="8">
        <v>0</v>
      </c>
      <c r="C8">
        <v>0</v>
      </c>
      <c r="D8">
        <v>0</v>
      </c>
      <c r="E8">
        <v>0</v>
      </c>
      <c r="F8">
        <f>4/6</f>
        <v>0.66666666666666696</v>
      </c>
      <c r="G8">
        <f>1-F8</f>
        <v>0.33333333333333298</v>
      </c>
      <c r="H8" s="9">
        <v>0</v>
      </c>
      <c r="J8" s="8">
        <f/>
        <v>0</v>
      </c>
      <c r="K8">
        <f/>
        <v>0</v>
      </c>
      <c r="L8">
        <f/>
        <v>0</v>
      </c>
      <c r="M8">
        <f/>
        <v>0</v>
      </c>
      <c r="N8">
        <f/>
        <v>0.44444444444444497</v>
      </c>
      <c r="O8">
        <f/>
        <v>0.5</v>
      </c>
      <c r="P8" s="9">
        <f/>
        <v>5.5555555555555004e-02</v>
      </c>
      <c r="R8" s="8">
        <f/>
        <v>0</v>
      </c>
      <c r="S8">
        <f/>
        <v>0</v>
      </c>
      <c r="T8">
        <f/>
        <v>0</v>
      </c>
      <c r="U8">
        <f/>
        <v>0</v>
      </c>
      <c r="V8">
        <f/>
        <v>3.9018442310623007e-02</v>
      </c>
      <c r="W8">
        <f/>
        <v>0.387099194101511</v>
      </c>
      <c r="X8" s="9">
        <f/>
        <v>0.57388236358786804</v>
      </c>
    </row>
    <row r="9">
      <c r="A9" s="15">
        <f t="shared" si="1992"/>
        <v>5</v>
      </c>
      <c r="B9" s="8">
        <v>0</v>
      </c>
      <c r="C9">
        <v>0</v>
      </c>
      <c r="D9">
        <v>0</v>
      </c>
      <c r="E9">
        <v>0</v>
      </c>
      <c r="F9">
        <v>0</v>
      </c>
      <c r="G9">
        <f>5/6</f>
        <v>0.83333333333333415</v>
      </c>
      <c r="H9" s="9">
        <f>1-G9</f>
        <v>0.16666666666666599</v>
      </c>
      <c r="J9" s="8">
        <f/>
        <v>0</v>
      </c>
      <c r="K9">
        <f/>
        <v>0</v>
      </c>
      <c r="L9">
        <f/>
        <v>0</v>
      </c>
      <c r="M9">
        <f/>
        <v>0</v>
      </c>
      <c r="N9">
        <f/>
        <v>0</v>
      </c>
      <c r="O9">
        <f/>
        <v>0.69444444444444597</v>
      </c>
      <c r="P9" s="9">
        <f/>
        <v>0.30555555555555503</v>
      </c>
      <c r="R9" s="8">
        <f/>
        <v>0</v>
      </c>
      <c r="S9">
        <f/>
        <v>0</v>
      </c>
      <c r="T9">
        <f/>
        <v>0</v>
      </c>
      <c r="U9">
        <f/>
        <v>0</v>
      </c>
      <c r="V9">
        <f/>
        <v>0</v>
      </c>
      <c r="W9">
        <f/>
        <v>0.23256803936137999</v>
      </c>
      <c r="X9" s="9">
        <f/>
        <v>0.76743196063862296</v>
      </c>
    </row>
    <row r="10">
      <c r="A10" s="15">
        <f t="shared" si="1992"/>
        <v>6</v>
      </c>
      <c r="B10" s="11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2">
        <v>1</v>
      </c>
      <c r="J10" s="11">
        <f/>
        <v>0</v>
      </c>
      <c r="K10" s="14">
        <f/>
        <v>0</v>
      </c>
      <c r="L10" s="14">
        <f/>
        <v>0</v>
      </c>
      <c r="M10" s="14">
        <f/>
        <v>0</v>
      </c>
      <c r="N10" s="14">
        <f/>
        <v>0</v>
      </c>
      <c r="O10" s="14">
        <f/>
        <v>0</v>
      </c>
      <c r="P10" s="12">
        <f/>
        <v>1</v>
      </c>
      <c r="R10" s="11">
        <f/>
        <v>0</v>
      </c>
      <c r="S10" s="14">
        <f/>
        <v>0</v>
      </c>
      <c r="T10" s="14">
        <f/>
        <v>0</v>
      </c>
      <c r="U10" s="14">
        <f/>
        <v>0</v>
      </c>
      <c r="V10" s="14">
        <f/>
        <v>0</v>
      </c>
      <c r="W10" s="14">
        <f/>
        <v>0</v>
      </c>
      <c r="X10" s="12">
        <f/>
        <v>1</v>
      </c>
    </row>
    <row r="12" ht="15.75" customHeight="1">
      <c r="J12" t="s">
        <v>684</v>
      </c>
      <c r="R12" t="s">
        <v>685</v>
      </c>
    </row>
    <row r="14">
      <c r="J14" s="31">
        <v>0</v>
      </c>
      <c r="K14" s="31">
        <f>J14+1</f>
        <v>1</v>
      </c>
      <c r="L14" s="31">
        <f>K14+1</f>
        <v>2</v>
      </c>
      <c r="M14" s="31">
        <f>L14+1</f>
        <v>3</v>
      </c>
      <c r="N14" s="31">
        <f>M14+1</f>
        <v>4</v>
      </c>
      <c r="O14" s="31">
        <f>N14+1</f>
        <v>5</v>
      </c>
      <c r="P14" s="31">
        <f>O14+1</f>
        <v>6</v>
      </c>
      <c r="R14" s="31">
        <v>0</v>
      </c>
      <c r="S14" s="31">
        <f>R14+1</f>
        <v>1</v>
      </c>
      <c r="T14" s="31">
        <f>S14+1</f>
        <v>2</v>
      </c>
      <c r="U14" s="31">
        <f>T14+1</f>
        <v>3</v>
      </c>
      <c r="V14" s="31">
        <f>U14+1</f>
        <v>4</v>
      </c>
      <c r="W14" s="31">
        <f>V14+1</f>
        <v>5</v>
      </c>
      <c r="X14" s="31">
        <f>W14+1</f>
        <v>6</v>
      </c>
    </row>
    <row r="15">
      <c r="I15" s="15">
        <v>0</v>
      </c>
      <c r="J15" s="5">
        <f t="array" ref="J15:P21">MMULT(J4:P10,J4:P10)</f>
        <v>0</v>
      </c>
      <c r="K15" s="42">
        <f/>
        <v>4.6296296296299997e-03</v>
      </c>
      <c r="L15" s="42">
        <f/>
        <v>0.16203703703703701</v>
      </c>
      <c r="M15" s="42">
        <f/>
        <v>0.55555555555555602</v>
      </c>
      <c r="N15" s="42">
        <f/>
        <v>0.27777777777777801</v>
      </c>
      <c r="O15" s="42">
        <f/>
        <v>0</v>
      </c>
      <c r="P15" s="6">
        <f/>
        <v>0</v>
      </c>
      <c r="R15" s="5">
        <f t="array" ref="R15:X21">MMULT(R4:X10,J4:P10)</f>
        <v>0</v>
      </c>
      <c r="S15" s="42">
        <f/>
        <v>9.9229030127580749e-08</v>
      </c>
      <c r="T15" s="42">
        <f/>
        <v>2.5353017197599998e-04</v>
      </c>
      <c r="U15" s="42">
        <f/>
        <v>1.8516137021796001e-02</v>
      </c>
      <c r="V15" s="42">
        <f/>
        <v>0.20305236434994703</v>
      </c>
      <c r="W15" s="42">
        <f/>
        <v>0.50636574074074303</v>
      </c>
      <c r="X15" s="6">
        <f/>
        <v>0.27181212848651098</v>
      </c>
    </row>
    <row r="16">
      <c r="I16" s="15">
        <f t="shared" ref="I16:I21" si="1993">I15+1</f>
        <v>1</v>
      </c>
      <c r="J16" s="8">
        <f/>
        <v>0</v>
      </c>
      <c r="K16">
        <f/>
        <v>7.7160493827200009e-04</v>
      </c>
      <c r="L16">
        <f/>
        <v>5.787037037037001e-02</v>
      </c>
      <c r="M16">
        <f/>
        <v>0.38580246913580302</v>
      </c>
      <c r="N16">
        <f/>
        <v>0.46296296296296402</v>
      </c>
      <c r="O16">
        <f/>
        <v>9.2592592592593004e-02</v>
      </c>
      <c r="P16" s="9">
        <f/>
        <v>0</v>
      </c>
      <c r="R16" s="8">
        <f/>
        <v>0</v>
      </c>
      <c r="S16">
        <f/>
        <v>1.6538171687937271e-08</v>
      </c>
      <c r="T16">
        <f/>
        <v>8.4592748184000004e-05</v>
      </c>
      <c r="U16">
        <f/>
        <v>9.4270886255480024e-03</v>
      </c>
      <c r="V16">
        <f/>
        <v>0.14462631141086299</v>
      </c>
      <c r="W16">
        <f/>
        <v>0.48965557206726895</v>
      </c>
      <c r="X16" s="9">
        <f/>
        <v>0.35620641860996799</v>
      </c>
    </row>
    <row r="17">
      <c r="I17" s="15">
        <f t="shared" si="1993"/>
        <v>2</v>
      </c>
      <c r="J17" s="8">
        <f/>
        <v>0</v>
      </c>
      <c r="K17">
        <f/>
        <v>0</v>
      </c>
      <c r="L17">
        <f/>
        <v>1.2345679012345998e-02</v>
      </c>
      <c r="M17">
        <f/>
        <v>0.20061728395061701</v>
      </c>
      <c r="N17">
        <f/>
        <v>0.50925925925925997</v>
      </c>
      <c r="O17">
        <f/>
        <v>0.25925925925926002</v>
      </c>
      <c r="P17" s="9">
        <f/>
        <v>1.8518518518518001e-02</v>
      </c>
      <c r="R17" s="8">
        <f/>
        <v>0</v>
      </c>
      <c r="S17">
        <f/>
        <v>0</v>
      </c>
      <c r="T17">
        <f/>
        <v>1.6935087808000003e-05</v>
      </c>
      <c r="U17">
        <f/>
        <v>3.8385096487660001e-03</v>
      </c>
      <c r="V17">
        <f/>
        <v>9.2432040021847003e-02</v>
      </c>
      <c r="W17">
        <f/>
        <v>0.449574982218161</v>
      </c>
      <c r="X17" s="9">
        <f/>
        <v>0.45413753302342103</v>
      </c>
    </row>
    <row r="18">
      <c r="I18" s="15">
        <f t="shared" si="1993"/>
        <v>3</v>
      </c>
      <c r="J18" s="8">
        <f/>
        <v>0</v>
      </c>
      <c r="K18">
        <f/>
        <v>0</v>
      </c>
      <c r="L18">
        <f/>
        <v>0</v>
      </c>
      <c r="M18">
        <f/>
        <v>6.25e-02</v>
      </c>
      <c r="N18">
        <f/>
        <v>0.405092592592593</v>
      </c>
      <c r="O18">
        <f/>
        <v>0.44907407407407501</v>
      </c>
      <c r="P18" s="9">
        <f/>
        <v>8.3333333333332996e-02</v>
      </c>
      <c r="R18" s="8">
        <f/>
        <v>0</v>
      </c>
      <c r="S18">
        <f/>
        <v>0</v>
      </c>
      <c r="T18">
        <f/>
        <v>0</v>
      </c>
      <c r="U18">
        <f/>
        <v>9.765625e-04</v>
      </c>
      <c r="V18">
        <f/>
        <v>4.909490224749799e-02</v>
      </c>
      <c r="W18">
        <f/>
        <v>0.383397256674543</v>
      </c>
      <c r="X18" s="9">
        <f/>
        <v>0.56653127857796104</v>
      </c>
    </row>
    <row r="19">
      <c r="I19" s="15">
        <f t="shared" si="1993"/>
        <v>4</v>
      </c>
      <c r="J19" s="8">
        <f/>
        <v>0</v>
      </c>
      <c r="K19">
        <f/>
        <v>0</v>
      </c>
      <c r="L19">
        <f/>
        <v>0</v>
      </c>
      <c r="M19">
        <f/>
        <v>0</v>
      </c>
      <c r="N19">
        <f/>
        <v>0.19753086419753099</v>
      </c>
      <c r="O19">
        <f/>
        <v>0.56944444444444597</v>
      </c>
      <c r="P19" s="9">
        <f/>
        <v>0.23302469135802401</v>
      </c>
      <c r="R19" s="8">
        <f/>
        <v>0</v>
      </c>
      <c r="S19">
        <f/>
        <v>0</v>
      </c>
      <c r="T19">
        <f/>
        <v>0</v>
      </c>
      <c r="U19">
        <f/>
        <v>0</v>
      </c>
      <c r="V19">
        <f/>
        <v>1.7341529915831998e-02</v>
      </c>
      <c r="W19">
        <f/>
        <v>0.28832810594802799</v>
      </c>
      <c r="X19" s="9">
        <f/>
        <v>0.69433036413614202</v>
      </c>
    </row>
    <row r="20">
      <c r="I20" s="15">
        <f t="shared" si="1993"/>
        <v>5</v>
      </c>
      <c r="J20" s="8">
        <f/>
        <v>0</v>
      </c>
      <c r="K20">
        <f/>
        <v>0</v>
      </c>
      <c r="L20">
        <f/>
        <v>0</v>
      </c>
      <c r="M20">
        <f/>
        <v>0</v>
      </c>
      <c r="N20">
        <f/>
        <v>0</v>
      </c>
      <c r="O20">
        <f/>
        <v>0.48225308641975506</v>
      </c>
      <c r="P20" s="9">
        <f/>
        <v>0.51774691358024705</v>
      </c>
      <c r="R20" s="8">
        <f/>
        <v>0</v>
      </c>
      <c r="S20">
        <f/>
        <v>0</v>
      </c>
      <c r="T20">
        <f/>
        <v>0</v>
      </c>
      <c r="U20">
        <f/>
        <v>0</v>
      </c>
      <c r="V20">
        <f/>
        <v>0</v>
      </c>
      <c r="W20">
        <f/>
        <v>0.16150558288984801</v>
      </c>
      <c r="X20" s="9">
        <f/>
        <v>0.83849441711015604</v>
      </c>
    </row>
    <row r="21">
      <c r="I21" s="15">
        <f t="shared" si="1993"/>
        <v>6</v>
      </c>
      <c r="J21" s="11">
        <f/>
        <v>0</v>
      </c>
      <c r="K21" s="14">
        <f/>
        <v>0</v>
      </c>
      <c r="L21" s="14">
        <f/>
        <v>0</v>
      </c>
      <c r="M21" s="14">
        <f/>
        <v>0</v>
      </c>
      <c r="N21" s="14">
        <f/>
        <v>0</v>
      </c>
      <c r="O21" s="14">
        <f/>
        <v>0</v>
      </c>
      <c r="P21" s="12">
        <f/>
        <v>1</v>
      </c>
      <c r="R21" s="11">
        <f/>
        <v>0</v>
      </c>
      <c r="S21" s="14">
        <f/>
        <v>0</v>
      </c>
      <c r="T21" s="14">
        <f/>
        <v>0</v>
      </c>
      <c r="U21" s="14">
        <f/>
        <v>0</v>
      </c>
      <c r="V21" s="14">
        <f/>
        <v>0</v>
      </c>
      <c r="W21" s="14">
        <f/>
        <v>0</v>
      </c>
      <c r="X21" s="12">
        <f/>
        <v>1</v>
      </c>
    </row>
    <row r="23" ht="15" customHeight="1">
      <c r="R23" t="s">
        <v>686</v>
      </c>
    </row>
    <row r="25">
      <c r="R25" s="31">
        <v>0</v>
      </c>
      <c r="S25" s="31">
        <f>R25+1</f>
        <v>1</v>
      </c>
      <c r="T25" s="31">
        <f>S25+1</f>
        <v>2</v>
      </c>
      <c r="U25" s="31">
        <f>T25+1</f>
        <v>3</v>
      </c>
      <c r="V25" s="31">
        <f>U25+1</f>
        <v>4</v>
      </c>
      <c r="W25" s="31">
        <f>V25+1</f>
        <v>5</v>
      </c>
      <c r="X25" s="31">
        <f>W25+1</f>
        <v>6</v>
      </c>
    </row>
    <row r="26">
      <c r="R26" s="5" t="e">
        <v>#NAME?</v>
      </c>
      <c r="S26" s="42" t="e">
        <v>#NAME?</v>
      </c>
      <c r="T26" s="42" t="e">
        <v>#NAME?</v>
      </c>
      <c r="U26" s="42" t="e">
        <v>#NAME?</v>
      </c>
      <c r="V26" s="42" t="e">
        <v>#NAME?</v>
      </c>
      <c r="W26" s="42" t="e">
        <v>#NAME?</v>
      </c>
      <c r="X26" s="6" t="e">
        <v>#NAME?</v>
      </c>
    </row>
    <row r="27">
      <c r="R27" s="8" t="e">
        <v>#NAME?</v>
      </c>
      <c r="S27" t="e">
        <v>#NAME?</v>
      </c>
      <c r="T27" t="e">
        <v>#NAME?</v>
      </c>
      <c r="U27" t="e">
        <v>#NAME?</v>
      </c>
      <c r="V27" t="e">
        <v>#NAME?</v>
      </c>
      <c r="W27" t="e">
        <v>#NAME?</v>
      </c>
      <c r="X27" s="9" t="e">
        <v>#NAME?</v>
      </c>
    </row>
    <row r="28">
      <c r="R28" s="8" t="e">
        <v>#NAME?</v>
      </c>
      <c r="S28" t="e">
        <v>#NAME?</v>
      </c>
      <c r="T28" t="e">
        <v>#NAME?</v>
      </c>
      <c r="U28" t="e">
        <v>#NAME?</v>
      </c>
      <c r="V28" t="e">
        <v>#NAME?</v>
      </c>
      <c r="W28" t="e">
        <v>#NAME?</v>
      </c>
      <c r="X28" s="9" t="e">
        <v>#NAME?</v>
      </c>
    </row>
    <row r="29">
      <c r="R29" s="8" t="e">
        <v>#NAME?</v>
      </c>
      <c r="S29" t="e">
        <v>#NAME?</v>
      </c>
      <c r="T29" t="e">
        <v>#NAME?</v>
      </c>
      <c r="U29" t="e">
        <v>#NAME?</v>
      </c>
      <c r="V29" t="e">
        <v>#NAME?</v>
      </c>
      <c r="W29" t="e">
        <v>#NAME?</v>
      </c>
      <c r="X29" s="9" t="e">
        <v>#NAME?</v>
      </c>
    </row>
    <row r="30">
      <c r="R30" s="8" t="e">
        <v>#NAME?</v>
      </c>
      <c r="S30" t="e">
        <v>#NAME?</v>
      </c>
      <c r="T30" t="e">
        <v>#NAME?</v>
      </c>
      <c r="U30" t="e">
        <v>#NAME?</v>
      </c>
      <c r="V30" t="e">
        <v>#NAME?</v>
      </c>
      <c r="W30" t="e">
        <v>#NAME?</v>
      </c>
      <c r="X30" s="9" t="e">
        <v>#NAME?</v>
      </c>
    </row>
    <row r="31">
      <c r="R31" s="8" t="e">
        <v>#NAME?</v>
      </c>
      <c r="S31" t="e">
        <v>#NAME?</v>
      </c>
      <c r="T31" t="e">
        <v>#NAME?</v>
      </c>
      <c r="U31" t="e">
        <v>#NAME?</v>
      </c>
      <c r="V31" t="e">
        <v>#NAME?</v>
      </c>
      <c r="W31" t="e">
        <v>#NAME?</v>
      </c>
      <c r="X31" s="9" t="e">
        <v>#NAME?</v>
      </c>
    </row>
    <row r="32">
      <c r="R32" s="11" t="e">
        <v>#NAME?</v>
      </c>
      <c r="S32" s="14" t="e">
        <v>#NAME?</v>
      </c>
      <c r="T32" s="14" t="e">
        <v>#NAME?</v>
      </c>
      <c r="U32" s="14" t="e">
        <v>#NAME?</v>
      </c>
      <c r="V32" s="14" t="e">
        <v>#NAME?</v>
      </c>
      <c r="W32" s="14" t="e">
        <v>#NAME?</v>
      </c>
      <c r="X32" s="12" t="e">
        <v>#NAME?</v>
      </c>
    </row>
    <row r="34">
      <c r="R34" t="e">
        <v>#NAME?</v>
      </c>
    </row>
    <row r="35">
      <c r="R35" t="e">
        <f>X15-X26</f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1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0" max="15" width="9.1785709999999998"/>
    <col customWidth="1" min="16" max="16" width="5"/>
    <col customWidth="1" min="18" max="18" width="5.7232139999999996"/>
    <col customWidth="1" min="23" max="25" width="9.1785709999999998"/>
    <col customWidth="1" min="26" max="26" width="5"/>
    <col customWidth="1" min="27" max="27" width="9.1785709999999998"/>
  </cols>
  <sheetData>
    <row r="1">
      <c r="A1" s="1" t="s">
        <v>681</v>
      </c>
    </row>
    <row r="3">
      <c r="B3" s="31">
        <v>0</v>
      </c>
      <c r="C3" s="31">
        <f>B3+1</f>
        <v>1</v>
      </c>
      <c r="D3" s="31">
        <f>C3+1</f>
        <v>2</v>
      </c>
      <c r="E3" s="31">
        <f>D3+1</f>
        <v>3</v>
      </c>
      <c r="F3" s="31" t="s">
        <v>687</v>
      </c>
      <c r="G3" s="31" t="s">
        <v>688</v>
      </c>
      <c r="I3" s="15" t="s">
        <v>685</v>
      </c>
      <c r="J3" s="31">
        <v>0</v>
      </c>
      <c r="K3" s="31">
        <f>J3+1</f>
        <v>1</v>
      </c>
      <c r="L3" s="31">
        <f>K3+1</f>
        <v>2</v>
      </c>
      <c r="M3" s="31">
        <f>L3+1</f>
        <v>3</v>
      </c>
      <c r="N3" s="31" t="s">
        <v>687</v>
      </c>
      <c r="O3" s="31" t="s">
        <v>688</v>
      </c>
      <c r="S3" s="15" t="s">
        <v>689</v>
      </c>
      <c r="T3" s="31">
        <v>0</v>
      </c>
      <c r="U3" s="31">
        <f>T3+1</f>
        <v>1</v>
      </c>
      <c r="V3" s="31">
        <f>U3+1</f>
        <v>2</v>
      </c>
      <c r="W3" s="31">
        <f>V3+1</f>
        <v>3</v>
      </c>
      <c r="X3" s="31" t="s">
        <v>687</v>
      </c>
      <c r="Y3" s="31" t="s">
        <v>688</v>
      </c>
    </row>
    <row r="4">
      <c r="A4" s="15">
        <v>0</v>
      </c>
      <c r="B4" s="5">
        <v>0</v>
      </c>
      <c r="C4" s="42">
        <f>2/3</f>
        <v>0.66666666666666696</v>
      </c>
      <c r="D4" s="42">
        <v>0</v>
      </c>
      <c r="E4" s="42">
        <v>0</v>
      </c>
      <c r="F4" s="42">
        <f t="shared" ref="F4:F6" si="1994">1/3</f>
        <v>0.33333333333333298</v>
      </c>
      <c r="G4" s="6">
        <v>0</v>
      </c>
      <c r="I4" s="15">
        <v>0</v>
      </c>
      <c r="J4" s="5" t="e">
        <v>#NAME?</v>
      </c>
      <c r="K4" s="42" t="e">
        <v>#NAME?</v>
      </c>
      <c r="L4" s="42" t="e">
        <v>#NAME?</v>
      </c>
      <c r="M4" s="42" t="e">
        <v>#NAME?</v>
      </c>
      <c r="N4" s="42" t="e">
        <v>#NAME?</v>
      </c>
      <c r="O4" s="6" t="e">
        <v>#NAME?</v>
      </c>
      <c r="Q4" s="18" t="e">
        <f>M4+O4</f>
        <v>#NAME?</v>
      </c>
      <c r="S4" s="15">
        <v>0</v>
      </c>
      <c r="T4" s="5" t="e">
        <v>#NAME?</v>
      </c>
      <c r="U4" s="42" t="e">
        <v>#NAME?</v>
      </c>
      <c r="V4" s="42" t="e">
        <v>#NAME?</v>
      </c>
      <c r="W4" s="42" t="e">
        <v>#NAME?</v>
      </c>
      <c r="X4" s="42" t="e">
        <v>#NAME?</v>
      </c>
      <c r="Y4" s="6" t="e">
        <v>#NAME?</v>
      </c>
      <c r="AA4" s="18" t="e">
        <f>W4+Y4</f>
        <v>#NAME?</v>
      </c>
    </row>
    <row r="5">
      <c r="A5" s="15">
        <f t="shared" ref="A5:A7" si="1995">A4+1</f>
        <v>1</v>
      </c>
      <c r="B5" s="8">
        <v>0</v>
      </c>
      <c r="C5">
        <v>0</v>
      </c>
      <c r="D5">
        <f>C4</f>
        <v>0.66666666666666696</v>
      </c>
      <c r="E5">
        <v>0</v>
      </c>
      <c r="F5">
        <f t="shared" si="1994"/>
        <v>0.33333333333333298</v>
      </c>
      <c r="G5" s="9">
        <v>0</v>
      </c>
      <c r="I5" s="15">
        <f t="shared" ref="I5:I7" si="1996">I4+1</f>
        <v>1</v>
      </c>
      <c r="J5" s="8" t="e">
        <v>#NAME?</v>
      </c>
      <c r="K5" t="e">
        <v>#NAME?</v>
      </c>
      <c r="L5" t="e">
        <v>#NAME?</v>
      </c>
      <c r="M5" t="e">
        <v>#NAME?</v>
      </c>
      <c r="N5" t="e">
        <v>#NAME?</v>
      </c>
      <c r="O5" s="9" t="e">
        <v>#NAME?</v>
      </c>
      <c r="S5" s="15">
        <f t="shared" ref="S5:S7" si="1997">S4+1</f>
        <v>1</v>
      </c>
      <c r="T5" s="8" t="e">
        <v>#NAME?</v>
      </c>
      <c r="U5" t="e">
        <v>#NAME?</v>
      </c>
      <c r="V5" t="e">
        <v>#NAME?</v>
      </c>
      <c r="W5" t="e">
        <v>#NAME?</v>
      </c>
      <c r="X5" t="e">
        <v>#NAME?</v>
      </c>
      <c r="Y5" s="9" t="e">
        <v>#NAME?</v>
      </c>
    </row>
    <row r="6">
      <c r="A6" s="15">
        <f t="shared" si="1995"/>
        <v>2</v>
      </c>
      <c r="B6" s="8">
        <v>0</v>
      </c>
      <c r="C6">
        <v>0</v>
      </c>
      <c r="D6">
        <v>0</v>
      </c>
      <c r="E6">
        <f>D5</f>
        <v>0.66666666666666696</v>
      </c>
      <c r="F6">
        <f t="shared" si="1994"/>
        <v>0.33333333333333298</v>
      </c>
      <c r="G6" s="9">
        <v>0</v>
      </c>
      <c r="I6" s="15">
        <f t="shared" si="1996"/>
        <v>2</v>
      </c>
      <c r="J6" s="8" t="e">
        <v>#NAME?</v>
      </c>
      <c r="K6" t="e">
        <v>#NAME?</v>
      </c>
      <c r="L6" t="e">
        <v>#NAME?</v>
      </c>
      <c r="M6" t="e">
        <v>#NAME?</v>
      </c>
      <c r="N6" t="e">
        <v>#NAME?</v>
      </c>
      <c r="O6" s="9" t="e">
        <v>#NAME?</v>
      </c>
      <c r="S6" s="15">
        <f t="shared" si="1997"/>
        <v>2</v>
      </c>
      <c r="T6" s="8" t="e">
        <v>#NAME?</v>
      </c>
      <c r="U6" t="e">
        <v>#NAME?</v>
      </c>
      <c r="V6" t="e">
        <v>#NAME?</v>
      </c>
      <c r="W6" t="e">
        <v>#NAME?</v>
      </c>
      <c r="X6" t="e">
        <v>#NAME?</v>
      </c>
      <c r="Y6" s="9" t="e">
        <v>#NAME?</v>
      </c>
    </row>
    <row r="7">
      <c r="A7" s="15">
        <f t="shared" si="1995"/>
        <v>3</v>
      </c>
      <c r="B7" s="8">
        <v>0</v>
      </c>
      <c r="C7">
        <v>0</v>
      </c>
      <c r="D7">
        <v>0</v>
      </c>
      <c r="E7">
        <v>1</v>
      </c>
      <c r="F7">
        <v>0</v>
      </c>
      <c r="G7" s="9">
        <v>0</v>
      </c>
      <c r="I7" s="15">
        <f t="shared" si="1996"/>
        <v>3</v>
      </c>
      <c r="J7" s="8" t="e">
        <v>#NAME?</v>
      </c>
      <c r="K7" t="e">
        <v>#NAME?</v>
      </c>
      <c r="L7" t="e">
        <v>#NAME?</v>
      </c>
      <c r="M7" t="e">
        <v>#NAME?</v>
      </c>
      <c r="N7" t="e">
        <v>#NAME?</v>
      </c>
      <c r="O7" s="9" t="e">
        <v>#NAME?</v>
      </c>
      <c r="S7" s="15">
        <f t="shared" si="1997"/>
        <v>3</v>
      </c>
      <c r="T7" s="8" t="e">
        <v>#NAME?</v>
      </c>
      <c r="U7" t="e">
        <v>#NAME?</v>
      </c>
      <c r="V7" t="e">
        <v>#NAME?</v>
      </c>
      <c r="W7" t="e">
        <v>#NAME?</v>
      </c>
      <c r="X7" t="e">
        <v>#NAME?</v>
      </c>
      <c r="Y7" s="9" t="e">
        <v>#NAME?</v>
      </c>
    </row>
    <row r="8">
      <c r="A8" s="15" t="s">
        <v>687</v>
      </c>
      <c r="B8" s="8">
        <v>0</v>
      </c>
      <c r="C8">
        <f>C4</f>
        <v>0.66666666666666696</v>
      </c>
      <c r="D8">
        <v>0</v>
      </c>
      <c r="E8">
        <v>0</v>
      </c>
      <c r="F8">
        <v>0</v>
      </c>
      <c r="G8" s="9">
        <f>F4</f>
        <v>0.33333333333333298</v>
      </c>
      <c r="I8" s="15" t="s">
        <v>687</v>
      </c>
      <c r="J8" s="8" t="e">
        <v>#NAME?</v>
      </c>
      <c r="K8" t="e">
        <v>#NAME?</v>
      </c>
      <c r="L8" t="e">
        <v>#NAME?</v>
      </c>
      <c r="M8" t="e">
        <v>#NAME?</v>
      </c>
      <c r="N8" t="e">
        <v>#NAME?</v>
      </c>
      <c r="O8" s="9" t="e">
        <v>#NAME?</v>
      </c>
      <c r="S8" s="15" t="s">
        <v>687</v>
      </c>
      <c r="T8" s="8" t="e">
        <v>#NAME?</v>
      </c>
      <c r="U8" t="e">
        <v>#NAME?</v>
      </c>
      <c r="V8" t="e">
        <v>#NAME?</v>
      </c>
      <c r="W8" t="e">
        <v>#NAME?</v>
      </c>
      <c r="X8" t="e">
        <v>#NAME?</v>
      </c>
      <c r="Y8" s="9" t="e">
        <v>#NAME?</v>
      </c>
    </row>
    <row r="9">
      <c r="A9" s="15" t="s">
        <v>688</v>
      </c>
      <c r="B9" s="11">
        <v>0</v>
      </c>
      <c r="C9" s="14">
        <v>0</v>
      </c>
      <c r="D9" s="14">
        <v>0</v>
      </c>
      <c r="E9" s="14">
        <v>0</v>
      </c>
      <c r="F9" s="14">
        <v>0</v>
      </c>
      <c r="G9" s="12">
        <v>1</v>
      </c>
      <c r="I9" s="15" t="s">
        <v>688</v>
      </c>
      <c r="J9" s="11" t="e">
        <v>#NAME?</v>
      </c>
      <c r="K9" s="14" t="e">
        <v>#NAME?</v>
      </c>
      <c r="L9" s="14" t="e">
        <v>#NAME?</v>
      </c>
      <c r="M9" s="14" t="e">
        <v>#NAME?</v>
      </c>
      <c r="N9" s="14" t="e">
        <v>#NAME?</v>
      </c>
      <c r="O9" s="12" t="e">
        <v>#NAME?</v>
      </c>
      <c r="S9" s="15" t="s">
        <v>688</v>
      </c>
      <c r="T9" s="11" t="e">
        <v>#NAME?</v>
      </c>
      <c r="U9" s="14" t="e">
        <v>#NAME?</v>
      </c>
      <c r="V9" s="14" t="e">
        <v>#NAME?</v>
      </c>
      <c r="W9" s="14" t="e">
        <v>#NAME?</v>
      </c>
      <c r="X9" s="14" t="e">
        <v>#NAME?</v>
      </c>
      <c r="Y9" s="12" t="e">
        <v>#NAME?</v>
      </c>
    </row>
    <row r="11">
      <c r="I11" s="15" t="s">
        <v>690</v>
      </c>
      <c r="J11" s="31">
        <v>0</v>
      </c>
      <c r="K11" s="31">
        <f>J11+1</f>
        <v>1</v>
      </c>
      <c r="L11" s="31">
        <f>K11+1</f>
        <v>2</v>
      </c>
      <c r="M11" s="31">
        <f>L11+1</f>
        <v>3</v>
      </c>
      <c r="N11" s="31" t="s">
        <v>687</v>
      </c>
      <c r="O11" s="31" t="s">
        <v>688</v>
      </c>
      <c r="S11" s="15" t="s">
        <v>691</v>
      </c>
      <c r="T11" s="31">
        <v>0</v>
      </c>
      <c r="U11" s="31">
        <f>T11+1</f>
        <v>1</v>
      </c>
      <c r="V11" s="31">
        <f>U11+1</f>
        <v>2</v>
      </c>
      <c r="W11" s="31">
        <f>V11+1</f>
        <v>3</v>
      </c>
      <c r="X11" s="31" t="s">
        <v>687</v>
      </c>
      <c r="Y11" s="31" t="s">
        <v>688</v>
      </c>
    </row>
    <row r="12">
      <c r="I12" s="15">
        <v>0</v>
      </c>
      <c r="J12" s="5" t="e">
        <v>#NAME?</v>
      </c>
      <c r="K12" s="42" t="e">
        <v>#NAME?</v>
      </c>
      <c r="L12" s="42" t="e">
        <v>#NAME?</v>
      </c>
      <c r="M12" s="42" t="e">
        <v>#NAME?</v>
      </c>
      <c r="N12" s="42" t="e">
        <v>#NAME?</v>
      </c>
      <c r="O12" s="6" t="e">
        <v>#NAME?</v>
      </c>
      <c r="Q12" s="18" t="e">
        <f>M12+O12</f>
        <v>#NAME?</v>
      </c>
      <c r="S12" s="15">
        <v>0</v>
      </c>
      <c r="T12" s="5" t="e">
        <v>#NAME?</v>
      </c>
      <c r="U12" s="42" t="e">
        <v>#NAME?</v>
      </c>
      <c r="V12" s="42" t="e">
        <v>#NAME?</v>
      </c>
      <c r="W12" s="42" t="e">
        <v>#NAME?</v>
      </c>
      <c r="X12" s="42" t="e">
        <v>#NAME?</v>
      </c>
      <c r="Y12" s="6" t="e">
        <v>#NAME?</v>
      </c>
      <c r="AA12" s="18" t="e">
        <f>W12+Y12</f>
        <v>#NAME?</v>
      </c>
    </row>
    <row r="13">
      <c r="I13" s="15">
        <f t="shared" ref="I13:I15" si="1998">I12+1</f>
        <v>1</v>
      </c>
      <c r="J13" s="8" t="e">
        <v>#NAME?</v>
      </c>
      <c r="K13" t="e">
        <v>#NAME?</v>
      </c>
      <c r="L13" t="e">
        <v>#NAME?</v>
      </c>
      <c r="M13" t="e">
        <v>#NAME?</v>
      </c>
      <c r="N13" t="e">
        <v>#NAME?</v>
      </c>
      <c r="O13" s="9" t="e">
        <v>#NAME?</v>
      </c>
      <c r="S13" s="15">
        <f t="shared" ref="S13:S15" si="1999">S12+1</f>
        <v>1</v>
      </c>
      <c r="T13" s="8" t="e">
        <v>#NAME?</v>
      </c>
      <c r="U13" t="e">
        <v>#NAME?</v>
      </c>
      <c r="V13" t="e">
        <v>#NAME?</v>
      </c>
      <c r="W13" t="e">
        <v>#NAME?</v>
      </c>
      <c r="X13" t="e">
        <v>#NAME?</v>
      </c>
      <c r="Y13" s="9" t="e">
        <v>#NAME?</v>
      </c>
    </row>
    <row r="14">
      <c r="I14" s="15">
        <f t="shared" si="1998"/>
        <v>2</v>
      </c>
      <c r="J14" s="8" t="e">
        <v>#NAME?</v>
      </c>
      <c r="K14" t="e">
        <v>#NAME?</v>
      </c>
      <c r="L14" t="e">
        <v>#NAME?</v>
      </c>
      <c r="M14" t="e">
        <v>#NAME?</v>
      </c>
      <c r="N14" t="e">
        <v>#NAME?</v>
      </c>
      <c r="O14" s="9" t="e">
        <v>#NAME?</v>
      </c>
      <c r="S14" s="15">
        <f t="shared" si="1999"/>
        <v>2</v>
      </c>
      <c r="T14" s="8" t="e">
        <v>#NAME?</v>
      </c>
      <c r="U14" t="e">
        <v>#NAME?</v>
      </c>
      <c r="V14" t="e">
        <v>#NAME?</v>
      </c>
      <c r="W14" t="e">
        <v>#NAME?</v>
      </c>
      <c r="X14" t="e">
        <v>#NAME?</v>
      </c>
      <c r="Y14" s="9" t="e">
        <v>#NAME?</v>
      </c>
    </row>
    <row r="15">
      <c r="I15" s="15">
        <f t="shared" si="1998"/>
        <v>3</v>
      </c>
      <c r="J15" s="8" t="e">
        <v>#NAME?</v>
      </c>
      <c r="K15" t="e">
        <v>#NAME?</v>
      </c>
      <c r="L15" t="e">
        <v>#NAME?</v>
      </c>
      <c r="M15" t="e">
        <v>#NAME?</v>
      </c>
      <c r="N15" t="e">
        <v>#NAME?</v>
      </c>
      <c r="O15" s="9" t="e">
        <v>#NAME?</v>
      </c>
      <c r="S15" s="15">
        <f t="shared" si="1999"/>
        <v>3</v>
      </c>
      <c r="T15" s="8" t="e">
        <v>#NAME?</v>
      </c>
      <c r="U15" t="e">
        <v>#NAME?</v>
      </c>
      <c r="V15" t="e">
        <v>#NAME?</v>
      </c>
      <c r="W15" t="e">
        <v>#NAME?</v>
      </c>
      <c r="X15" t="e">
        <v>#NAME?</v>
      </c>
      <c r="Y15" s="9" t="e">
        <v>#NAME?</v>
      </c>
    </row>
    <row r="16">
      <c r="I16" s="15" t="s">
        <v>687</v>
      </c>
      <c r="J16" s="8" t="e">
        <v>#NAME?</v>
      </c>
      <c r="K16" t="e">
        <v>#NAME?</v>
      </c>
      <c r="L16" t="e">
        <v>#NAME?</v>
      </c>
      <c r="M16" t="e">
        <v>#NAME?</v>
      </c>
      <c r="N16" t="e">
        <v>#NAME?</v>
      </c>
      <c r="O16" s="9" t="e">
        <v>#NAME?</v>
      </c>
      <c r="S16" s="15" t="s">
        <v>687</v>
      </c>
      <c r="T16" s="8" t="e">
        <v>#NAME?</v>
      </c>
      <c r="U16" t="e">
        <v>#NAME?</v>
      </c>
      <c r="V16" t="e">
        <v>#NAME?</v>
      </c>
      <c r="W16" t="e">
        <v>#NAME?</v>
      </c>
      <c r="X16" t="e">
        <v>#NAME?</v>
      </c>
      <c r="Y16" s="9" t="e">
        <v>#NAME?</v>
      </c>
    </row>
    <row r="17">
      <c r="I17" s="15" t="s">
        <v>688</v>
      </c>
      <c r="J17" s="11" t="e">
        <v>#NAME?</v>
      </c>
      <c r="K17" s="14" t="e">
        <v>#NAME?</v>
      </c>
      <c r="L17" s="14" t="e">
        <v>#NAME?</v>
      </c>
      <c r="M17" s="14" t="e">
        <v>#NAME?</v>
      </c>
      <c r="N17" s="14" t="e">
        <v>#NAME?</v>
      </c>
      <c r="O17" s="12" t="e">
        <v>#NAME?</v>
      </c>
      <c r="S17" s="15" t="s">
        <v>688</v>
      </c>
      <c r="T17" s="11" t="e">
        <v>#NAME?</v>
      </c>
      <c r="U17" s="14" t="e">
        <v>#NAME?</v>
      </c>
      <c r="V17" s="14" t="e">
        <v>#NAME?</v>
      </c>
      <c r="W17" s="14" t="e">
        <v>#NAME?</v>
      </c>
      <c r="X17" s="14" t="e">
        <v>#NAME?</v>
      </c>
      <c r="Y17" s="12" t="e">
        <v>#NAME?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1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1" activeCellId="0" sqref="A1"/>
    </sheetView>
  </sheetViews>
  <sheetFormatPr defaultRowHeight="14.25"/>
  <cols>
    <col customWidth="1" min="1" max="1" width="5.8125"/>
    <col customWidth="1" min="2" max="2" width="3.2678569999999998"/>
    <col customWidth="1" min="7" max="7" width="3.2678569999999998"/>
    <col customWidth="1" min="12" max="12" width="3.2678569999999998"/>
  </cols>
  <sheetData>
    <row r="1">
      <c r="A1" s="52" t="s">
        <v>692</v>
      </c>
      <c r="B1" s="31"/>
    </row>
    <row r="3">
      <c r="C3" s="107" t="s">
        <v>693</v>
      </c>
      <c r="D3" s="107"/>
      <c r="E3" s="107"/>
      <c r="F3" s="107"/>
      <c r="H3" s="107" t="s">
        <v>694</v>
      </c>
      <c r="I3" s="107"/>
      <c r="J3" s="107"/>
      <c r="K3" s="107"/>
      <c r="M3" s="108" t="s">
        <v>695</v>
      </c>
      <c r="N3" s="108"/>
      <c r="O3" s="108"/>
      <c r="P3" s="108"/>
    </row>
    <row r="4">
      <c r="A4" s="31" t="s">
        <v>696</v>
      </c>
      <c r="B4" s="31"/>
      <c r="C4" s="109">
        <v>1.e-02</v>
      </c>
      <c r="D4" s="110">
        <v>2.5000000000000001e-02</v>
      </c>
      <c r="E4" s="111">
        <v>5.0000000000000003e-02</v>
      </c>
      <c r="F4" s="112">
        <v>0.10000000000000001</v>
      </c>
      <c r="H4" s="109">
        <v>1.e-02</v>
      </c>
      <c r="I4" s="110">
        <v>2.5000000000000001e-02</v>
      </c>
      <c r="J4" s="111">
        <v>5.0000000000000003e-02</v>
      </c>
      <c r="K4" s="112">
        <v>0.10000000000000001</v>
      </c>
      <c r="M4" s="109">
        <v>1.e-02</v>
      </c>
      <c r="N4" s="110">
        <v>2.5000000000000001e-02</v>
      </c>
      <c r="O4" s="111">
        <v>5.0000000000000003e-02</v>
      </c>
      <c r="P4" s="112">
        <v>0.10000000000000001</v>
      </c>
    </row>
    <row r="5">
      <c r="A5">
        <v>25</v>
      </c>
      <c r="C5" s="113">
        <v>-2.661</v>
      </c>
      <c r="D5" s="114">
        <v>-2.2730000000000001</v>
      </c>
      <c r="E5" s="114">
        <v>-1.9550000000000001</v>
      </c>
      <c r="F5" s="115">
        <v>-1.609</v>
      </c>
      <c r="H5" s="113">
        <v>-3.7240000000000002</v>
      </c>
      <c r="I5" s="114">
        <v>-3.3180000000000001</v>
      </c>
      <c r="J5" s="114">
        <v>-2.9860000000000002</v>
      </c>
      <c r="K5" s="115">
        <v>-2.633</v>
      </c>
      <c r="M5" s="113">
        <v>-4.375</v>
      </c>
      <c r="N5" s="114">
        <v>-3.9430000000000001</v>
      </c>
      <c r="O5" s="114">
        <v>-3.589</v>
      </c>
      <c r="P5" s="115">
        <v>-3.238</v>
      </c>
    </row>
    <row r="6">
      <c r="A6">
        <v>50</v>
      </c>
      <c r="C6" s="116">
        <v>-2.6120000000000001</v>
      </c>
      <c r="D6" s="87">
        <v>-2.246</v>
      </c>
      <c r="E6" s="87">
        <v>-1.9470000000000001</v>
      </c>
      <c r="F6" s="117">
        <v>-1.6120000000000001</v>
      </c>
      <c r="H6" s="116">
        <v>-3.5680000000000001</v>
      </c>
      <c r="I6" s="87">
        <v>-3.2130000000000001</v>
      </c>
      <c r="J6" s="87">
        <v>-2.9209999999999998</v>
      </c>
      <c r="K6" s="117">
        <v>-2.5990000000000002</v>
      </c>
      <c r="M6" s="116">
        <v>-4.1520000000000001</v>
      </c>
      <c r="N6" s="87">
        <v>-3.7909999999999999</v>
      </c>
      <c r="O6" s="87">
        <v>-3.4950000000000001</v>
      </c>
      <c r="P6" s="117">
        <v>-3.181</v>
      </c>
    </row>
    <row r="7">
      <c r="A7">
        <v>100</v>
      </c>
      <c r="C7" s="116">
        <v>-2.5880000000000001</v>
      </c>
      <c r="D7" s="87">
        <v>-2.234</v>
      </c>
      <c r="E7" s="87">
        <v>-1.944</v>
      </c>
      <c r="F7" s="117">
        <v>-1.6140000000000001</v>
      </c>
      <c r="H7" s="116">
        <v>-3.4980000000000002</v>
      </c>
      <c r="I7" s="87">
        <v>-3.1640000000000001</v>
      </c>
      <c r="J7" s="87">
        <v>-2.891</v>
      </c>
      <c r="K7" s="117">
        <v>-2.5819999999999999</v>
      </c>
      <c r="M7" s="116">
        <v>-4.0519999999999996</v>
      </c>
      <c r="N7" s="87">
        <v>-3.722</v>
      </c>
      <c r="O7" s="87">
        <v>-3.452</v>
      </c>
      <c r="P7" s="117">
        <v>-3.153</v>
      </c>
    </row>
    <row r="8">
      <c r="A8">
        <v>250</v>
      </c>
      <c r="C8" s="116">
        <v>-2.5750000000000002</v>
      </c>
      <c r="D8" s="87">
        <v>-2.2269999999999999</v>
      </c>
      <c r="E8" s="87">
        <v>-1.9419999999999999</v>
      </c>
      <c r="F8" s="117">
        <v>-1.6160000000000001</v>
      </c>
      <c r="H8" s="116">
        <v>-3.4569999999999999</v>
      </c>
      <c r="I8" s="87">
        <v>-3.1360000000000001</v>
      </c>
      <c r="J8" s="87">
        <v>-2.8730000000000002</v>
      </c>
      <c r="K8" s="117">
        <v>-2.573</v>
      </c>
      <c r="M8" s="116">
        <v>-3.9950000000000001</v>
      </c>
      <c r="N8" s="87">
        <v>-3.6829999999999998</v>
      </c>
      <c r="O8" s="87">
        <v>-3.427</v>
      </c>
      <c r="P8" s="117">
        <v>-3.137</v>
      </c>
    </row>
    <row r="9">
      <c r="A9">
        <v>500</v>
      </c>
      <c r="C9" s="116">
        <v>-2.5699999999999998</v>
      </c>
      <c r="D9" s="87">
        <v>-2.2240000000000002</v>
      </c>
      <c r="E9" s="87">
        <v>-1.9419999999999999</v>
      </c>
      <c r="F9" s="117">
        <v>-1.6160000000000001</v>
      </c>
      <c r="H9" s="116">
        <v>-3.4430000000000001</v>
      </c>
      <c r="I9" s="87">
        <v>-3.1269999999999998</v>
      </c>
      <c r="J9" s="87">
        <v>-2.867</v>
      </c>
      <c r="K9" s="117">
        <v>-2.5699999999999998</v>
      </c>
      <c r="M9" s="116">
        <v>-3.9769999999999999</v>
      </c>
      <c r="N9" s="87">
        <v>-3.6699999999999999</v>
      </c>
      <c r="O9" s="87">
        <v>-3.419</v>
      </c>
      <c r="P9" s="117">
        <v>-3.1320000000000001</v>
      </c>
    </row>
    <row r="10">
      <c r="A10" s="31" t="s">
        <v>697</v>
      </c>
      <c r="B10" s="31"/>
      <c r="C10" s="118">
        <v>-2.5670000000000002</v>
      </c>
      <c r="D10" s="89">
        <v>-2.2229999999999999</v>
      </c>
      <c r="E10" s="89">
        <v>-1.9410000000000001</v>
      </c>
      <c r="F10" s="119">
        <v>-1.6160000000000001</v>
      </c>
      <c r="H10" s="118">
        <v>-3.4340000000000002</v>
      </c>
      <c r="I10" s="89">
        <v>-3.1200000000000001</v>
      </c>
      <c r="J10" s="89">
        <v>-2.863</v>
      </c>
      <c r="K10" s="119">
        <v>-2.5680000000000001</v>
      </c>
      <c r="M10" s="118">
        <v>-3.9630000000000001</v>
      </c>
      <c r="N10" s="89">
        <v>-3.6600000000000001</v>
      </c>
      <c r="O10" s="89">
        <v>-3.4129999999999998</v>
      </c>
      <c r="P10" s="119">
        <v>-3.1280000000000001</v>
      </c>
    </row>
    <row r="11">
      <c r="C11" s="37"/>
      <c r="D11" s="37"/>
      <c r="E11" s="37"/>
      <c r="F11" s="37"/>
    </row>
    <row r="12">
      <c r="A12" t="s">
        <v>698</v>
      </c>
    </row>
    <row r="14">
      <c r="C14" s="107" t="s">
        <v>693</v>
      </c>
      <c r="D14" s="107"/>
      <c r="E14" s="107"/>
      <c r="F14" s="107"/>
      <c r="H14" s="107" t="s">
        <v>694</v>
      </c>
      <c r="I14" s="107"/>
      <c r="J14" s="107"/>
      <c r="K14" s="107"/>
      <c r="M14" s="108" t="s">
        <v>695</v>
      </c>
      <c r="N14" s="108"/>
      <c r="O14" s="108"/>
      <c r="P14" s="108"/>
    </row>
    <row r="15">
      <c r="A15" s="31"/>
      <c r="B15" s="31"/>
      <c r="C15" s="109">
        <v>1.e-02</v>
      </c>
      <c r="D15" s="110">
        <v>2.5000000000000001e-02</v>
      </c>
      <c r="E15" s="111">
        <v>5.0000000000000003e-02</v>
      </c>
      <c r="F15" s="112">
        <v>0.10000000000000001</v>
      </c>
      <c r="H15" s="109">
        <v>1.e-02</v>
      </c>
      <c r="I15" s="110">
        <v>2.5000000000000001e-02</v>
      </c>
      <c r="J15" s="111">
        <v>5.0000000000000003e-02</v>
      </c>
      <c r="K15" s="112">
        <v>0.10000000000000001</v>
      </c>
      <c r="M15" s="109">
        <v>1.e-02</v>
      </c>
      <c r="N15" s="110">
        <v>2.5000000000000001e-02</v>
      </c>
      <c r="O15" s="111">
        <v>5.0000000000000003e-02</v>
      </c>
      <c r="P15" s="112">
        <v>0.10000000000000001</v>
      </c>
    </row>
    <row r="16">
      <c r="A16" s="31" t="s">
        <v>206</v>
      </c>
      <c r="C16" s="5">
        <v>-2.5657399999999999</v>
      </c>
      <c r="D16" s="42">
        <v>-2.2221330000000004</v>
      </c>
      <c r="E16" s="42">
        <v>-1.9410000000000001</v>
      </c>
      <c r="F16" s="6">
        <v>-1.6168199999999997</v>
      </c>
      <c r="H16" s="5">
        <v>-3.4303499999999998</v>
      </c>
      <c r="I16" s="42">
        <v>-3.1175044999999999</v>
      </c>
      <c r="J16" s="42">
        <v>-2.8615400000000002</v>
      </c>
      <c r="K16" s="6">
        <v>-2.56677</v>
      </c>
      <c r="M16" s="5">
        <v>-3.9587699999999999</v>
      </c>
      <c r="N16" s="42">
        <v>-3.657216</v>
      </c>
      <c r="O16" s="42">
        <v>-3.4104899999999998</v>
      </c>
      <c r="P16" s="6">
        <v>-3.1270500000000001</v>
      </c>
    </row>
    <row r="17">
      <c r="A17" s="31" t="s">
        <v>231</v>
      </c>
      <c r="C17" s="8">
        <v>-2.2357999999999998</v>
      </c>
      <c r="D17">
        <v>-1.1538399999999998</v>
      </c>
      <c r="E17">
        <v>-0.26860000000000001</v>
      </c>
      <c r="F17" s="9">
        <v>0.2656</v>
      </c>
      <c r="H17" s="8">
        <v>-6.5392999999999999</v>
      </c>
      <c r="I17">
        <v>-4.5323500000000001</v>
      </c>
      <c r="J17">
        <v>-2.8902999999999999</v>
      </c>
      <c r="K17" s="9">
        <v>-1.5384</v>
      </c>
      <c r="M17" s="8">
        <v>-9.0531000000000006</v>
      </c>
      <c r="N17">
        <v>-6.4886150000000002</v>
      </c>
      <c r="O17">
        <v>-4.3903999999999996</v>
      </c>
      <c r="P17" s="9">
        <v>-2.5855999999999999</v>
      </c>
    </row>
    <row r="18">
      <c r="A18" s="31" t="s">
        <v>232</v>
      </c>
      <c r="C18" s="8">
        <v>-3.6269999999999998</v>
      </c>
      <c r="D18">
        <v>-3.4829000000000008</v>
      </c>
      <c r="E18">
        <v>-3.3650000000000002</v>
      </c>
      <c r="F18" s="9">
        <v>-2.714</v>
      </c>
      <c r="H18" s="8">
        <v>-16.786000000000001</v>
      </c>
      <c r="I18">
        <v>-9.8824000000000005</v>
      </c>
      <c r="J18">
        <v>-4.234</v>
      </c>
      <c r="K18" s="9">
        <v>-2.8090000000000002</v>
      </c>
      <c r="M18" s="8">
        <v>-28.428000000000001</v>
      </c>
      <c r="N18">
        <v>-17.7624</v>
      </c>
      <c r="O18">
        <v>-9.0359999999999996</v>
      </c>
      <c r="P18" s="9">
        <v>-3.9249999999999998</v>
      </c>
    </row>
    <row r="19">
      <c r="A19" s="31" t="s">
        <v>219</v>
      </c>
      <c r="C19" s="11">
        <v>0</v>
      </c>
      <c r="D19" s="14">
        <v>17.172650000000001</v>
      </c>
      <c r="E19" s="14">
        <v>31.222999999999999</v>
      </c>
      <c r="F19" s="12">
        <v>25.364000000000001</v>
      </c>
      <c r="H19" s="11">
        <v>-79.433000000000007</v>
      </c>
      <c r="I19" s="14">
        <v>-57.766850000000012</v>
      </c>
      <c r="J19" s="14">
        <v>-40.039999999999999</v>
      </c>
      <c r="K19" s="12">
        <v>0</v>
      </c>
      <c r="M19" s="11">
        <v>-134.155</v>
      </c>
      <c r="N19" s="14">
        <v>-85.325450000000004</v>
      </c>
      <c r="O19" s="14">
        <v>-45.374000000000002</v>
      </c>
      <c r="P19" s="12">
        <v>-22.379999999999999</v>
      </c>
    </row>
    <row r="21">
      <c r="A21" s="54" t="s">
        <v>699</v>
      </c>
    </row>
  </sheetData>
  <mergeCells count="6">
    <mergeCell ref="C3:F3"/>
    <mergeCell ref="H3:K3"/>
    <mergeCell ref="M3:P3"/>
    <mergeCell ref="C14:F14"/>
    <mergeCell ref="H14:K14"/>
    <mergeCell ref="M14:P14"/>
  </mergeCells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xl/worksheets/sheet1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normal" zoomScale="100" workbookViewId="0">
      <selection activeCell="AE23" activeCellId="0" sqref="AE23"/>
    </sheetView>
  </sheetViews>
  <sheetFormatPr defaultRowHeight="14.25"/>
  <cols>
    <col customWidth="1" min="1" max="1" width="5.8125"/>
    <col customWidth="1" min="2" max="2" width="3.2678569999999998"/>
    <col customWidth="1" min="7" max="7" width="3.2678569999999998"/>
  </cols>
  <sheetData>
    <row r="1">
      <c r="A1" s="52" t="s">
        <v>700</v>
      </c>
      <c r="B1" s="31"/>
    </row>
    <row r="3">
      <c r="C3" s="107" t="s">
        <v>694</v>
      </c>
      <c r="D3" s="107"/>
      <c r="E3" s="107"/>
      <c r="F3" s="107"/>
      <c r="H3" s="108" t="s">
        <v>695</v>
      </c>
      <c r="I3" s="108"/>
      <c r="J3" s="108"/>
      <c r="K3" s="108"/>
    </row>
    <row r="4">
      <c r="A4" s="31" t="s">
        <v>696</v>
      </c>
      <c r="B4" s="31"/>
      <c r="C4" s="109">
        <v>1.e-02</v>
      </c>
      <c r="D4" s="110">
        <v>2.5000000000000001e-02</v>
      </c>
      <c r="E4" s="111">
        <v>5.0000000000000003e-02</v>
      </c>
      <c r="F4" s="112">
        <v>0.10000000000000001</v>
      </c>
      <c r="H4" s="109">
        <v>1.e-02</v>
      </c>
      <c r="I4" s="110">
        <v>2.5000000000000001e-02</v>
      </c>
      <c r="J4" s="111">
        <v>5.0000000000000003e-02</v>
      </c>
      <c r="K4" s="112">
        <v>0.10000000000000001</v>
      </c>
    </row>
    <row r="5">
      <c r="A5">
        <v>25</v>
      </c>
      <c r="C5" s="113">
        <v>-3.7240000000000002</v>
      </c>
      <c r="D5" s="114">
        <v>-3.3180000000000001</v>
      </c>
      <c r="E5" s="114">
        <v>-2.9860000000000002</v>
      </c>
      <c r="F5" s="115">
        <v>-2.633</v>
      </c>
      <c r="H5" s="113">
        <v>-4.375</v>
      </c>
      <c r="I5" s="114">
        <v>-3.9430000000000001</v>
      </c>
      <c r="J5" s="114">
        <v>-3.589</v>
      </c>
      <c r="K5" s="115">
        <v>-3.238</v>
      </c>
    </row>
    <row r="6">
      <c r="A6">
        <v>50</v>
      </c>
      <c r="C6" s="116">
        <v>-3.5680000000000001</v>
      </c>
      <c r="D6" s="87">
        <v>-3.2130000000000001</v>
      </c>
      <c r="E6" s="87">
        <v>-2.9209999999999998</v>
      </c>
      <c r="F6" s="117">
        <v>-2.5990000000000002</v>
      </c>
      <c r="H6" s="116">
        <v>-4.1520000000000001</v>
      </c>
      <c r="I6" s="87">
        <v>-3.7909999999999999</v>
      </c>
      <c r="J6" s="87">
        <v>-3.4950000000000001</v>
      </c>
      <c r="K6" s="117">
        <v>-3.181</v>
      </c>
    </row>
    <row r="7">
      <c r="A7">
        <v>100</v>
      </c>
      <c r="C7" s="116">
        <v>-3.4980000000000002</v>
      </c>
      <c r="D7" s="87">
        <v>-3.1640000000000001</v>
      </c>
      <c r="E7" s="87">
        <v>-2.891</v>
      </c>
      <c r="F7" s="117">
        <v>-2.5819999999999999</v>
      </c>
      <c r="H7" s="116">
        <v>-4.0519999999999996</v>
      </c>
      <c r="I7" s="87">
        <v>-3.722</v>
      </c>
      <c r="J7" s="87">
        <v>-3.452</v>
      </c>
      <c r="K7" s="117">
        <v>-3.153</v>
      </c>
    </row>
    <row r="8">
      <c r="A8">
        <v>250</v>
      </c>
      <c r="C8" s="116">
        <v>-3.4569999999999999</v>
      </c>
      <c r="D8" s="87">
        <v>-3.1360000000000001</v>
      </c>
      <c r="E8" s="87">
        <v>-2.8730000000000002</v>
      </c>
      <c r="F8" s="117">
        <v>-2.573</v>
      </c>
      <c r="H8" s="116">
        <v>-3.9950000000000001</v>
      </c>
      <c r="I8" s="87">
        <v>-3.6829999999999998</v>
      </c>
      <c r="J8" s="87">
        <v>-3.427</v>
      </c>
      <c r="K8" s="117">
        <v>-3.137</v>
      </c>
    </row>
    <row r="9">
      <c r="A9">
        <v>500</v>
      </c>
      <c r="C9" s="116">
        <v>-3.4430000000000001</v>
      </c>
      <c r="D9" s="87">
        <v>-3.1269999999999998</v>
      </c>
      <c r="E9" s="87">
        <v>-2.867</v>
      </c>
      <c r="F9" s="117">
        <v>-2.5699999999999998</v>
      </c>
      <c r="H9" s="116">
        <v>-3.9769999999999999</v>
      </c>
      <c r="I9" s="87">
        <v>-3.6699999999999999</v>
      </c>
      <c r="J9" s="87">
        <v>-3.419</v>
      </c>
      <c r="K9" s="117">
        <v>-3.1320000000000001</v>
      </c>
    </row>
    <row r="10">
      <c r="A10" s="31" t="s">
        <v>697</v>
      </c>
      <c r="B10" s="31"/>
      <c r="C10" s="118">
        <v>-3.4340000000000002</v>
      </c>
      <c r="D10" s="89">
        <v>-3.1200000000000001</v>
      </c>
      <c r="E10" s="89">
        <v>-2.863</v>
      </c>
      <c r="F10" s="119">
        <v>-2.5680000000000001</v>
      </c>
      <c r="H10" s="118">
        <v>-3.9630000000000001</v>
      </c>
      <c r="I10" s="89">
        <v>-3.6600000000000001</v>
      </c>
      <c r="J10" s="89">
        <v>-3.4129999999999998</v>
      </c>
      <c r="K10" s="119">
        <v>-3.1280000000000001</v>
      </c>
    </row>
    <row r="12">
      <c r="A12" t="s">
        <v>698</v>
      </c>
    </row>
    <row r="14">
      <c r="C14" s="107" t="s">
        <v>694</v>
      </c>
      <c r="D14" s="107"/>
      <c r="E14" s="107"/>
      <c r="F14" s="107"/>
      <c r="H14" s="108" t="s">
        <v>695</v>
      </c>
      <c r="I14" s="108"/>
      <c r="J14" s="108"/>
      <c r="K14" s="108"/>
    </row>
    <row r="15">
      <c r="A15" s="31"/>
      <c r="B15" s="31"/>
      <c r="C15" s="109">
        <v>1.e-02</v>
      </c>
      <c r="D15" s="110">
        <v>2.5000000000000001e-02</v>
      </c>
      <c r="E15" s="111">
        <v>5.0000000000000003e-02</v>
      </c>
      <c r="F15" s="112">
        <v>0.10000000000000001</v>
      </c>
      <c r="H15" s="109">
        <v>1.e-02</v>
      </c>
      <c r="I15" s="110">
        <v>2.5000000000000001e-02</v>
      </c>
      <c r="J15" s="111">
        <v>5.0000000000000003e-02</v>
      </c>
      <c r="K15" s="112">
        <v>0.10000000000000001</v>
      </c>
    </row>
    <row r="16">
      <c r="A16" s="31" t="s">
        <v>206</v>
      </c>
      <c r="C16" s="5">
        <v>-3.8964400000000001</v>
      </c>
      <c r="D16" s="42">
        <v>-3.5882695</v>
      </c>
      <c r="E16" s="42">
        <v>-3.3361299999999998</v>
      </c>
      <c r="F16" s="6">
        <v>-3.0444499999999999</v>
      </c>
      <c r="H16" s="5">
        <v>-4.3276199999999996</v>
      </c>
      <c r="I16" s="42">
        <v>-4.0267425000000001</v>
      </c>
      <c r="J16" s="42">
        <v>-3.78057</v>
      </c>
      <c r="K16" s="6">
        <v>-3.4963099999999998</v>
      </c>
    </row>
    <row r="17">
      <c r="A17" s="31" t="s">
        <v>231</v>
      </c>
      <c r="C17" s="8">
        <v>-10.9519</v>
      </c>
      <c r="D17">
        <v>-8.2889099999999978</v>
      </c>
      <c r="E17">
        <v>-6.1101000000000001</v>
      </c>
      <c r="F17" s="9">
        <v>-4.2412000000000001</v>
      </c>
      <c r="H17" s="8">
        <v>-15.438700000000001</v>
      </c>
      <c r="I17">
        <v>-12.178245</v>
      </c>
      <c r="J17">
        <v>-9.5106000000000002</v>
      </c>
      <c r="K17" s="9">
        <v>-7.0815000000000001</v>
      </c>
    </row>
    <row r="18">
      <c r="A18" s="31" t="s">
        <v>232</v>
      </c>
      <c r="C18" s="8">
        <v>-22.527000000000001</v>
      </c>
      <c r="D18">
        <v>-13.889799999999999</v>
      </c>
      <c r="E18">
        <v>-6.8230000000000004</v>
      </c>
      <c r="F18" s="9">
        <v>-2.7200000000000002</v>
      </c>
      <c r="H18" s="8">
        <v>-35.679000000000002</v>
      </c>
      <c r="I18">
        <v>-22.696249999999999</v>
      </c>
      <c r="J18">
        <v>-12.074</v>
      </c>
      <c r="K18" s="9">
        <v>-7.5380000000000003</v>
      </c>
    </row>
    <row r="19">
      <c r="A19" s="31" t="s">
        <v>219</v>
      </c>
      <c r="C19" s="11">
        <v>0</v>
      </c>
      <c r="D19" s="14">
        <v>0</v>
      </c>
      <c r="E19" s="14">
        <v>0</v>
      </c>
      <c r="F19" s="12">
        <v>0</v>
      </c>
      <c r="H19" s="11">
        <v>0</v>
      </c>
      <c r="I19" s="14">
        <v>0</v>
      </c>
      <c r="J19" s="14">
        <v>0</v>
      </c>
      <c r="K19" s="12">
        <v>21.891999999999999</v>
      </c>
    </row>
    <row r="21">
      <c r="A21" s="54" t="s">
        <v>699</v>
      </c>
    </row>
  </sheetData>
  <mergeCells count="4">
    <mergeCell ref="C3:F3"/>
    <mergeCell ref="H3:K3"/>
    <mergeCell ref="C14:F14"/>
    <mergeCell ref="H14:K14"/>
  </mergeCells>
  <printOptions headings="0" gridLines="0"/>
  <pageMargins left="0.69999999999999996" right="0.69999999999999996" top="0.75" bottom="0.75" header="0.29999999999999999" footer="0.29999999999999999"/>
  <pageSetup paperSize="9" scale="100" fitToWidth="0" fitToHeight="1" pageOrder="overThenDown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ONLYOFFICE/7.4.1.36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Charles Zaiontz</dc:creator>
  <cp:keywords/>
  <dc:description/>
  <cp:revision>1</cp:revision>
  <dcterms:created xsi:type="dcterms:W3CDTF">2015-10-24T07:49:16Z</dcterms:created>
  <dcterms:modified xsi:type="dcterms:W3CDTF">2023-09-01T15:42:23Z</dcterms:modified>
</cp:coreProperties>
</file>