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malls"/>
  <workbookPr/>
  <bookViews>
    <workbookView activeTab="2" xWindow="240" yWindow="60" windowWidth="29040" windowHeight="13590" tabRatio="702"/>
  </bookViews>
  <sheets>
    <sheet name="Auditors notes" sheetId="1" r:id="rId4"/>
    <sheet name="R&amp;PforReport" sheetId="2" r:id="rId5"/>
    <sheet name="Assets and RFs" sheetId="3" r:id="rId6"/>
    <sheet name="Deposit Account" sheetId="4" r:id="rId7"/>
    <sheet name="Bank balances" sheetId="5" r:id="rId8"/>
    <sheet name="Budget 2022" sheetId="6" r:id="rId9"/>
    <sheet name="Budget 2021" sheetId="7" r:id="rId10"/>
    <sheet name="Year so far" sheetId="8" r:id="rId11"/>
    <sheet name="Half-year" sheetId="9" r:id="rId12"/>
    <sheet name="Year end" sheetId="10" r:id="rId13"/>
  </sheets>
  <definedNames>
    <definedName name="CHANGE">#REF!</definedName>
    <definedName name="BALANCES">'Bank balances'!$A$1:$G$64</definedName>
    <definedName name="_xlnm.Print_Area" localSheetId="4">'Bank balances'!$A$1:$H$77</definedName>
  </definedNames>
  <calcPr iterate="1" iterateCount="1" iterateDelta="0"/>
  <extLst>
    <ext uri="smNativeData">
      <pm:revision xmlns:pm="smNativeData" day="1682803789" val="1109" rev="124" rev64="64" revOS="4" revMin="124" revMax="0"/>
      <pm:docPrefs xmlns:pm="smNativeData" id="1682803789" fixedDigits="0" showNotice="1" showFrameBounds="1" autoChart="1" recalcOnPrint="1" recalcOnCopy="1" compatTextArt="1" keepXLPalette="1" tab="567" useDefinedPrintRange="1" printArea="currentSheet"/>
      <pm:compatibility xmlns:pm="smNativeData" id="1682803789" overlapCells="1"/>
      <pm:defCurrency xmlns:pm="smNativeData" id="1682803789"/>
    </ext>
  </extLst>
</workbook>
</file>

<file path=xl/sharedStrings.xml><?xml version="1.0" encoding="utf-8"?>
<sst xmlns="http://schemas.openxmlformats.org/spreadsheetml/2006/main" count="668" uniqueCount="260">
  <si>
    <t>Where payments to restricted and designated funds are gift aided, the gift aid has been credited to the fund at the time of payment.</t>
  </si>
  <si>
    <t>When VAT is reclaimable, payments from designated funds are entered nett in the Deposit Account records.</t>
  </si>
  <si>
    <t>The analysis of Sundry items for Receipts and Payments is carried out in the spreadsheets of those names and then transposed to the right  of the tables in the R&amp;PforReport sheet here.</t>
  </si>
  <si>
    <t>The sum of £1167.00 received from St Martin's Cambridge and paid to Jon Cook is excluded from the Accounts.</t>
  </si>
  <si>
    <t>NB: Years here (C5, E5) used in other sheets</t>
  </si>
  <si>
    <t>GENERAL ACCOUNT</t>
  </si>
  <si>
    <t>Change</t>
  </si>
  <si>
    <t>Receipts:</t>
  </si>
  <si>
    <t>£</t>
  </si>
  <si>
    <t>Analysis of Sundry</t>
  </si>
  <si>
    <t>Collections - gift aid</t>
  </si>
  <si>
    <t>Sundry</t>
  </si>
  <si>
    <t>Source</t>
  </si>
  <si>
    <t>Details</t>
  </si>
  <si>
    <t>Itemized</t>
  </si>
  <si>
    <t>sundry</t>
  </si>
  <si>
    <t>heating</t>
  </si>
  <si>
    <t>For FOALs</t>
  </si>
  <si>
    <t>Omit</t>
  </si>
  <si>
    <t>Charitable collections</t>
  </si>
  <si>
    <t>Donata - Gift aid</t>
  </si>
  <si>
    <t>y</t>
  </si>
  <si>
    <t>Collections - other</t>
  </si>
  <si>
    <t>Donata - Other</t>
  </si>
  <si>
    <t>Goodbox</t>
  </si>
  <si>
    <t>Event 25/3, collection 20/3</t>
  </si>
  <si>
    <t>Gift aided regular giving</t>
  </si>
  <si>
    <t>Church hire</t>
  </si>
  <si>
    <t>FoALS - heating</t>
  </si>
  <si>
    <t>CCCCC Concert</t>
  </si>
  <si>
    <t>Donations - gift aid</t>
  </si>
  <si>
    <t>Community lunches</t>
  </si>
  <si>
    <t>Tea towels</t>
  </si>
  <si>
    <t>Donations - other</t>
  </si>
  <si>
    <t>Events - General</t>
  </si>
  <si>
    <t>FOALS - St Augustine's concert</t>
  </si>
  <si>
    <t>Heating</t>
  </si>
  <si>
    <t>Income tax recovered</t>
  </si>
  <si>
    <t>Events - Restrict'd</t>
  </si>
  <si>
    <t>Presentation by Lucy Frazer</t>
  </si>
  <si>
    <t>Church fees</t>
  </si>
  <si>
    <t>Wall safe</t>
  </si>
  <si>
    <t>Presentation 14/4, collections 17/4</t>
  </si>
  <si>
    <t>Dividends</t>
  </si>
  <si>
    <t>Collection - not GA</t>
  </si>
  <si>
    <t>Donation re heating</t>
  </si>
  <si>
    <t>FOALS</t>
  </si>
  <si>
    <t>CCLA and Bank Interest</t>
  </si>
  <si>
    <t>Collection - Gift Aid</t>
  </si>
  <si>
    <t>Cambridge ACRE</t>
  </si>
  <si>
    <t>Warm Hub refreshments</t>
  </si>
  <si>
    <t>PCC Fees</t>
  </si>
  <si>
    <t>SumUp</t>
  </si>
  <si>
    <t>Other Fund NGA</t>
  </si>
  <si>
    <t>Parish Share Rebate 2021</t>
  </si>
  <si>
    <t>Fundraising</t>
  </si>
  <si>
    <t>Other Fund    GA</t>
  </si>
  <si>
    <t>LPOW scheme - VAT reclaimed</t>
  </si>
  <si>
    <t>APP-00002577</t>
  </si>
  <si>
    <t>Fund</t>
  </si>
  <si>
    <t>ELY DIOCSN GEN   T</t>
  </si>
  <si>
    <t>Heating grant</t>
  </si>
  <si>
    <t>Rebate on Parish Share</t>
  </si>
  <si>
    <t>GA Planned Giving</t>
  </si>
  <si>
    <t>St Martin's, Cambridge</t>
  </si>
  <si>
    <t>For Jon Cook</t>
  </si>
  <si>
    <t>Grant from Diocese for energy costs</t>
  </si>
  <si>
    <t>Tax on GA Amounts</t>
  </si>
  <si>
    <t>Bequest</t>
  </si>
  <si>
    <t>Marjorie Baldwin</t>
  </si>
  <si>
    <t>Warm Hub grant</t>
  </si>
  <si>
    <t>Dividends and Interest</t>
  </si>
  <si>
    <t>Foals - Pudding evening</t>
  </si>
  <si>
    <t>Ride &amp; Stride sponsorship</t>
  </si>
  <si>
    <t>Bells / Verger / Organist</t>
  </si>
  <si>
    <t>LPW Scheme - VAT reclaimed</t>
  </si>
  <si>
    <t>Fees for verger/organist/ringers</t>
  </si>
  <si>
    <t>Interest</t>
  </si>
  <si>
    <t>Total Receipts</t>
  </si>
  <si>
    <t>Sundries in col A:</t>
  </si>
  <si>
    <t>Sundries less Omit:</t>
  </si>
  <si>
    <t>Adjustments to Current Account data:</t>
  </si>
  <si>
    <t>Add:</t>
  </si>
  <si>
    <t>CCLA interest</t>
  </si>
  <si>
    <t>Subtract:</t>
  </si>
  <si>
    <t>Receipts: GA Tax reclaimed for Rest/Des.</t>
  </si>
  <si>
    <t>Receipts for General, less Omit</t>
  </si>
  <si>
    <t>Payments:</t>
  </si>
  <si>
    <t xml:space="preserve">Parish Share </t>
  </si>
  <si>
    <t>Stipendiary Fees</t>
  </si>
  <si>
    <t>Telecoms</t>
  </si>
  <si>
    <t xml:space="preserve">Charitable Giving </t>
  </si>
  <si>
    <t>Maint. of Services</t>
  </si>
  <si>
    <t>CHCT Subscription</t>
  </si>
  <si>
    <t>Insurance</t>
  </si>
  <si>
    <t>Comm. Lunches</t>
  </si>
  <si>
    <t>Flower arrangers</t>
  </si>
  <si>
    <t>Light, Heating &amp; Water</t>
  </si>
  <si>
    <t>Priest's expenses</t>
  </si>
  <si>
    <t>Purchase of SumUp Solo</t>
  </si>
  <si>
    <t>Maintenance</t>
  </si>
  <si>
    <t>Parish Share</t>
  </si>
  <si>
    <t>Re St Martin's, Cambridge</t>
  </si>
  <si>
    <t>Stip. Fees</t>
  </si>
  <si>
    <t>Verger, organist, bell ringers</t>
  </si>
  <si>
    <t>Charitable Giving</t>
  </si>
  <si>
    <t>Heating, Lighting, Water</t>
  </si>
  <si>
    <t>Upkeep of services</t>
  </si>
  <si>
    <t>Verger/ Organist/Ringers</t>
  </si>
  <si>
    <t>Total Payments</t>
  </si>
  <si>
    <t>Other Fund</t>
  </si>
  <si>
    <t>Revised total</t>
  </si>
  <si>
    <t>Excess of Receipts over Payments</t>
  </si>
  <si>
    <t>Sundry 2021 = CHCT subscription (£50), storage frame (£231.48)</t>
  </si>
  <si>
    <t>Assets summary:</t>
  </si>
  <si>
    <t>General Fund</t>
  </si>
  <si>
    <t xml:space="preserve">Current Account </t>
  </si>
  <si>
    <t>Deposit Account - CCLA</t>
  </si>
  <si>
    <t>Total</t>
  </si>
  <si>
    <t xml:space="preserve">Restricted &amp; Designated Funds </t>
  </si>
  <si>
    <t>Nett assets</t>
  </si>
  <si>
    <t>Balance at 1 Jan</t>
  </si>
  <si>
    <t>Receipts</t>
  </si>
  <si>
    <t>Payments</t>
  </si>
  <si>
    <t>Balance at  31 Dec</t>
  </si>
  <si>
    <t>Bell Ringers' Fund</t>
  </si>
  <si>
    <t>William Belton Memorial Fund</t>
  </si>
  <si>
    <t>Organ Fund</t>
  </si>
  <si>
    <t>Mission Projects Fund</t>
  </si>
  <si>
    <t>Servery/QI Fund</t>
  </si>
  <si>
    <t>South Porch Fund</t>
  </si>
  <si>
    <t>Churchyard Maintenance Fund</t>
  </si>
  <si>
    <t>Totals</t>
  </si>
  <si>
    <t>Discrepancy</t>
  </si>
  <si>
    <t>General Fund deposit (derived)</t>
  </si>
  <si>
    <t>Total restricted</t>
  </si>
  <si>
    <t>Total, restricted+designated</t>
  </si>
  <si>
    <t>Unrestricted</t>
  </si>
  <si>
    <t xml:space="preserve">The balance from CCLA (or estimate thereof) should be entered  in the row indicated (currently 24). </t>
  </si>
  <si>
    <t xml:space="preserve">The General Fund deposit is derived as that which is neither restricted nor designated. It may vary slightly from expected because interest attributed to the R/D funds is estimated; </t>
  </si>
  <si>
    <t>larger variations may arise when R/D deposits are made to the current account and notionally transferred to CCLA, together with GA tax that has yet to be received.</t>
  </si>
  <si>
    <t>NB: Where applicable, Gift Aid is added at the same time as the gift.</t>
  </si>
  <si>
    <t>Used to flag estimate of DA interest:</t>
  </si>
  <si>
    <t>1 m</t>
  </si>
  <si>
    <t>(Estimated)</t>
  </si>
  <si>
    <t>Use (Q pa rate) /4 as approx rate</t>
  </si>
  <si>
    <t>O B</t>
  </si>
  <si>
    <t>Q1 int</t>
  </si>
  <si>
    <t>Q1 dep</t>
  </si>
  <si>
    <t>Q1 exp</t>
  </si>
  <si>
    <t>Q1 end</t>
  </si>
  <si>
    <t>Q2 int</t>
  </si>
  <si>
    <t>Q2 dep</t>
  </si>
  <si>
    <t>Q2 exp</t>
  </si>
  <si>
    <t>Q2 end</t>
  </si>
  <si>
    <t>Q3 int</t>
  </si>
  <si>
    <t>Q3 dep</t>
  </si>
  <si>
    <t>Q3 exp</t>
  </si>
  <si>
    <t>Q3 end</t>
  </si>
  <si>
    <t>Q4 int</t>
  </si>
  <si>
    <t>Q4 dep</t>
  </si>
  <si>
    <t>Q4 exp</t>
  </si>
  <si>
    <t>C B</t>
  </si>
  <si>
    <t>Deposits</t>
  </si>
  <si>
    <t>Expenditure</t>
  </si>
  <si>
    <t>For accounts</t>
  </si>
  <si>
    <t>Interest rate</t>
  </si>
  <si>
    <t>The Bell Ringers Fund</t>
  </si>
  <si>
    <t>The William Belton Memorial Fund</t>
  </si>
  <si>
    <t>The Organ Fund</t>
  </si>
  <si>
    <t>Total: restricted funds</t>
  </si>
  <si>
    <t>Total: designated funds</t>
  </si>
  <si>
    <t>Total: restricted + designated</t>
  </si>
  <si>
    <t>ENTER CCLA BALANCE IN ROW BELOW! (Or add transfers plus calculated interest to previous balance)</t>
  </si>
  <si>
    <t>Actual interest</t>
  </si>
  <si>
    <t>CCLA balance (may  add calc int)</t>
  </si>
  <si>
    <t>ENTER CURRENT ACCOUNT BALANCE IN ROW BELOW!</t>
  </si>
  <si>
    <t>CA balance</t>
  </si>
  <si>
    <t>General Fund total</t>
  </si>
  <si>
    <t>Current account</t>
  </si>
  <si>
    <t>Deposit account</t>
  </si>
  <si>
    <t>Available</t>
  </si>
  <si>
    <t>Change in nett assets</t>
  </si>
  <si>
    <t>Total expenditure in 2020 on Servery/QI work</t>
  </si>
  <si>
    <t>NB: R&amp;P figures, from "ServeryQI project accounts.xlsx", include VAT</t>
  </si>
  <si>
    <t>Servery/QI Fund 2021</t>
  </si>
  <si>
    <t>PARISH OF ALL SAINTS', LANDBEACH.</t>
  </si>
  <si>
    <t>Current Account</t>
  </si>
  <si>
    <t>Opening balance, 1 January</t>
  </si>
  <si>
    <t>Credits not yet shown</t>
  </si>
  <si>
    <t>December  cheques</t>
  </si>
  <si>
    <t>December cash</t>
  </si>
  <si>
    <t>VAT rebate - LPOW scheme</t>
  </si>
  <si>
    <t>GoodBox</t>
  </si>
  <si>
    <t>Debits not yet shown</t>
  </si>
  <si>
    <t>Friends of All Saints</t>
  </si>
  <si>
    <t>Ely DBF - fees</t>
  </si>
  <si>
    <t>Cheque 200007</t>
  </si>
  <si>
    <t>Norman Hall &amp; Sons</t>
  </si>
  <si>
    <t>Effective o.b.</t>
  </si>
  <si>
    <t>Closing balance, 31 December</t>
  </si>
  <si>
    <t>December monies</t>
  </si>
  <si>
    <t>FOALS - Pudding evening</t>
  </si>
  <si>
    <t>GA donation - Ray Gambell</t>
  </si>
  <si>
    <t>GA donation - John Buckley</t>
  </si>
  <si>
    <t>Ray Gambell</t>
  </si>
  <si>
    <t>Print-Out Histon</t>
  </si>
  <si>
    <t>Children's Society</t>
  </si>
  <si>
    <t>Crisis at Christmas</t>
  </si>
  <si>
    <t>Effective c.b.</t>
  </si>
  <si>
    <t>CCLA Deposit Account</t>
  </si>
  <si>
    <t>O.b.</t>
  </si>
  <si>
    <t>Total interest</t>
  </si>
  <si>
    <t>Net transfers</t>
  </si>
  <si>
    <t>C.b.</t>
  </si>
  <si>
    <t>Receipts incl. CCLA int.</t>
  </si>
  <si>
    <t>Receipts (current account)</t>
  </si>
  <si>
    <t>Difference</t>
  </si>
  <si>
    <t>Change in bank balance</t>
  </si>
  <si>
    <t>Transfered to current account (to balance):</t>
  </si>
  <si>
    <t>Notes for auditor.</t>
  </si>
  <si>
    <t>Payments from restricted and designated funds:</t>
  </si>
  <si>
    <t>Date</t>
  </si>
  <si>
    <t>Cheque</t>
  </si>
  <si>
    <t>Payee</t>
  </si>
  <si>
    <t xml:space="preserve"> From</t>
  </si>
  <si>
    <t>(none)</t>
  </si>
  <si>
    <t>Budget 2022</t>
  </si>
  <si>
    <t>Budget 2021</t>
  </si>
  <si>
    <t>Outturn 2021</t>
  </si>
  <si>
    <t>Outturn 2019</t>
  </si>
  <si>
    <t>End June 2021</t>
  </si>
  <si>
    <t>% of budget</t>
  </si>
  <si>
    <t>End June 2020</t>
  </si>
  <si>
    <t>Church fees (nett)</t>
  </si>
  <si>
    <t>Coffee mornings/Lunches</t>
  </si>
  <si>
    <t>Fund raising events</t>
  </si>
  <si>
    <t>Yellow b/g = manual entry or check formula</t>
  </si>
  <si>
    <t>NB: Charitable Receipts excluded from "Collections - other" and "Charitable Giving"</t>
  </si>
  <si>
    <t xml:space="preserve">Fund raising events 2020 - assumes not diverted to resticted funds </t>
  </si>
  <si>
    <t>Other</t>
  </si>
  <si>
    <t>NB: Maintenance budget reduced by £250 in expectation of VAT rebates.</t>
  </si>
  <si>
    <t>Outturn 2020</t>
  </si>
  <si>
    <t>Coffee mornings</t>
  </si>
  <si>
    <t>NB: For 2020, Charitable Receipts excluded from "Collections - other" and "Charitable Giving"</t>
  </si>
  <si>
    <t>End Dec 2022</t>
  </si>
  <si>
    <t>End xxx 2020</t>
  </si>
  <si>
    <t>*</t>
  </si>
  <si>
    <t>Less adjustments</t>
  </si>
  <si>
    <t>Community Lunches</t>
  </si>
  <si>
    <t>Excluding restricted funds (ow some may be o/s)</t>
  </si>
  <si>
    <t>Total (wo CCLA interest)</t>
  </si>
  <si>
    <t>Excluding restricted funds, SFs and adjustments</t>
  </si>
  <si>
    <t>Maintenance of Services</t>
  </si>
  <si>
    <t>Includes 580 from CYMF and  telecoms from MPF</t>
  </si>
  <si>
    <t>Budget 2020</t>
  </si>
  <si>
    <t>Budget 2019</t>
  </si>
  <si>
    <t>End Dec 2021</t>
  </si>
  <si>
    <t>Coffee mornings+Lunches</t>
  </si>
  <si>
    <t>Rebates (VAT, Parish Share)</t>
  </si>
</sst>
</file>

<file path=xl/styles.xml><?xml version="1.0" encoding="utf-8"?>
<styleSheet xmlns="http://schemas.openxmlformats.org/spreadsheetml/2006/main">
  <numFmts count="16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2" formatCode="0.00"/>
    <numFmt numFmtId="1" formatCode="0"/>
    <numFmt numFmtId="4" formatCode="#,##0.00"/>
    <numFmt numFmtId="164" formatCode="0.000000"/>
    <numFmt numFmtId="165" formatCode="\(0.00\);\(\-0.00\)"/>
    <numFmt numFmtId="166" formatCode="[$£-809]#,##0.00"/>
    <numFmt numFmtId="167" formatCode=",0.00;\(,0.00\)"/>
    <numFmt numFmtId="3" formatCode="#,##0"/>
  </numFmts>
  <fonts count="15">
    <font>
      <name val="Arial"/>
      <family val="2"/>
      <color rgb="FF000000"/>
      <sz val="12"/>
      <extLst>
        <ext uri="smNativeData">
          <pm:charSpec xmlns:pm="smNativeData" id="1682803789" ulstyle="none">
            <pm:latin face="Arial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28037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2803789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ndara"/>
      <family val="2"/>
      <color rgb="FF000000"/>
      <sz val="12"/>
      <extLst>
        <ext uri="smNativeData">
          <pm:charSpec xmlns:pm="smNativeData" id="1682803789" ulstyle="none">
            <pm:latin face="Candara" sz="240" lang="default"/>
            <pm:cs face="Times New Roman" sz="240" lang="default"/>
            <pm:ea face="SimSun" sz="240" lang="default"/>
          </pm:charSpec>
        </ext>
      </extLst>
    </font>
    <font>
      <name val="Candara"/>
      <family val="2"/>
      <b/>
      <color rgb="FF000000"/>
      <sz val="12"/>
      <extLst>
        <ext uri="smNativeData">
          <pm:charSpec xmlns:pm="smNativeData" id="1682803789" ulstyle="none">
            <pm:latin face="Candara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682803789" ulstyle="none">
            <pm:latin face="Arial" sz="180" lang="default"/>
            <pm:cs face="Times New Roman" sz="180" lang="default"/>
            <pm:ea face="SimSun" sz="18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682803789" ulstyle="none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682803789" ulstyle="none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i/>
      <color rgb="FF000000"/>
      <sz val="12"/>
      <extLst>
        <ext uri="smNativeData">
          <pm:charSpec xmlns:pm="smNativeData" id="1682803789" ulstyle="none">
            <pm:latin face="Arial" sz="240" lang="default" weight="bold" i="1"/>
            <pm:cs face="Times New Roman" sz="240" lang="default" weight="bold" i="1"/>
            <pm:ea face="SimSun" sz="240" lang="default" weight="bold" i="1"/>
          </pm:charSpec>
        </ext>
      </extLst>
    </font>
    <font>
      <name val="Calibri"/>
      <family val="2"/>
      <b/>
      <color rgb="FF000000"/>
      <sz val="12"/>
      <u val="single"/>
      <extLst>
        <ext uri="smNativeData">
          <pm:charSpec xmlns:pm="smNativeData" id="1682803789" ulstyle="single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682803789" ulstyle="none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FF00FF"/>
      <sz val="12"/>
      <extLst>
        <ext uri="smNativeData">
          <pm:charSpec xmlns:pm="smNativeData" id="1682803789" fgClr="FF00FF" ulstyle="none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82803789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82803789" ulstyle="none">
            <pm:latin face="Arial" sz="240" lang="default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9"/>
      <extLst>
        <ext uri="smNativeData">
          <pm:charSpec xmlns:pm="smNativeData" id="1682803789" ulstyle="none">
            <pm:latin face="Calibri" sz="180" lang="default"/>
            <pm:cs face="Times New Roman" sz="180" lang="default"/>
            <pm:ea face="SimSun" sz="180" lang="default"/>
          </pm:charSpec>
        </ext>
      </extLst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682803789" type="1" fgLvl="100" fgClr="00FFFF00" bgLvl="100" bgClr="00000000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682803789" type="1" fgLvl="100" fgClr="00FF00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2803789" type="1" fgLvl="0" fgClr="00000000" bgLvl="100" bgClr="00FFFFFF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82803789" type="1" fgLvl="0" fgClr="00000000" bgLvl="100" bgClr="0000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82803789" type="1" fgLvl="0" fgClr="00000000" bgLvl="100" bgClr="00FFFF00"/>
          </ext>
        </extLst>
      </patternFill>
    </fill>
    <fill>
      <patternFill patternType="solid">
        <fgColor rgb="FFFF00FF"/>
        <bgColor rgb="FFFFFFFF"/>
        <extLst>
          <ext uri="smNativeData">
            <pm:shade xmlns:pm="smNativeData" id="1682803789" type="1" fgLvl="0" fgClr="00000000" bgLvl="100" bgClr="00FF00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82803789" type="1" fgLvl="100" fgClr="00FFFFFF" bgLvl="100" bgClr="00000000"/>
          </ext>
        </extLst>
      </patternFill>
    </fill>
  </fills>
  <borders count="1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2803789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2803789">
            <pm:line position="top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280378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0378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0378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0">
    <xf numFmtId="0" fontId="0" fillId="0" borderId="0" xfId="0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/>
    <xf numFmtId="1" fontId="0" fillId="0" borderId="3" xfId="0" applyNumberFormat="1" applyBorder="1" applyAlignment="1">
      <alignment horizontal="center"/>
    </xf>
    <xf numFmtId="0" fontId="0" fillId="0" borderId="3" xfId="0" applyBorder="1"/>
    <xf numFmtId="1" fontId="0" fillId="0" borderId="0" xfId="0" applyNumberFormat="1" applyAlignment="1">
      <alignment horizontal="center"/>
    </xf>
    <xf numFmtId="0" fontId="3" fillId="0" borderId="0" xfId="0" applyFont="1"/>
    <xf numFmtId="4" fontId="3" fillId="0" borderId="0" xfId="0" applyNumberFormat="1" applyFont="1"/>
    <xf numFmtId="1" fontId="4" fillId="0" borderId="0" xfId="0" applyNumberFormat="1" applyFont="1" applyAlignment="1">
      <alignment horizontal="center"/>
    </xf>
    <xf numFmtId="2" fontId="5" fillId="0" borderId="0" xfId="0" applyNumberFormat="1" applyFont="1"/>
    <xf numFmtId="1" fontId="6" fillId="0" borderId="0" xfId="0" applyNumberFormat="1" applyFont="1" applyAlignment="1">
      <alignment horizontal="center"/>
    </xf>
    <xf numFmtId="2" fontId="3" fillId="0" borderId="0" xfId="0" applyNumberFormat="1" applyFont="1"/>
    <xf numFmtId="4" fontId="5" fillId="0" borderId="0" xfId="0" applyNumberFormat="1" applyFont="1"/>
    <xf numFmtId="2" fontId="0" fillId="0" borderId="0" xfId="0" applyNumberFormat="1" applyAlignment="1">
      <alignment horizontal="center"/>
    </xf>
    <xf numFmtId="164" fontId="5" fillId="0" borderId="0" xfId="0" applyNumberFormat="1" applyFont="1"/>
    <xf numFmtId="165" fontId="5" fillId="0" borderId="0" xfId="0" applyNumberFormat="1" applyFont="1"/>
    <xf numFmtId="0" fontId="7" fillId="0" borderId="0" xfId="0" applyFont="1"/>
    <xf numFmtId="2" fontId="7" fillId="0" borderId="0" xfId="0" applyNumberFormat="1" applyFont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right"/>
    </xf>
    <xf numFmtId="164" fontId="7" fillId="0" borderId="0" xfId="0" applyNumberFormat="1" applyFont="1"/>
    <xf numFmtId="4" fontId="7" fillId="0" borderId="0" xfId="0" applyNumberFormat="1" applyFont="1"/>
    <xf numFmtId="0" fontId="7" fillId="0" borderId="0" xfId="0" applyFont="1" applyAlignment="1">
      <alignment horizontal="right"/>
    </xf>
    <xf numFmtId="166" fontId="7" fillId="0" borderId="0" xfId="0" applyNumberFormat="1" applyFont="1"/>
    <xf numFmtId="0" fontId="8" fillId="0" borderId="0" xfId="0" applyFont="1"/>
    <xf numFmtId="0" fontId="6" fillId="0" borderId="0" xfId="0" applyFont="1"/>
    <xf numFmtId="4" fontId="0" fillId="0" borderId="0" xfId="0" applyNumberFormat="1"/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0" fillId="0" borderId="3" xfId="0" applyNumberFormat="1" applyBorder="1"/>
    <xf numFmtId="4" fontId="0" fillId="0" borderId="1" xfId="0" applyNumberFormat="1" applyBorder="1"/>
    <xf numFmtId="0" fontId="6" fillId="0" borderId="3" xfId="0" applyFont="1" applyBorder="1"/>
    <xf numFmtId="0" fontId="0" fillId="0" borderId="1" xfId="0" applyBorder="1" applyAlignment="1">
      <alignment horizontal="right"/>
    </xf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wrapText="1"/>
    </xf>
    <xf numFmtId="0" fontId="6" fillId="0" borderId="1" xfId="0" applyFont="1" applyBorder="1"/>
    <xf numFmtId="4" fontId="0" fillId="0" borderId="2" xfId="0" applyNumberFormat="1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2" fontId="0" fillId="0" borderId="0" xfId="0" applyNumberFormat="1"/>
    <xf numFmtId="0" fontId="9" fillId="0" borderId="0" xfId="0" applyFont="1"/>
    <xf numFmtId="1" fontId="10" fillId="0" borderId="0" xfId="0" applyNumberFormat="1" applyFont="1" applyAlignment="1">
      <alignment horizontal="center"/>
    </xf>
    <xf numFmtId="0" fontId="10" fillId="0" borderId="0" xfId="0" applyFont="1"/>
    <xf numFmtId="4" fontId="10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/>
    </xf>
    <xf numFmtId="167" fontId="7" fillId="0" borderId="0" xfId="0" applyNumberFormat="1" applyFont="1"/>
    <xf numFmtId="2" fontId="11" fillId="0" borderId="0" xfId="0" applyNumberFormat="1" applyFont="1"/>
    <xf numFmtId="3" fontId="7" fillId="0" borderId="0" xfId="0" applyNumberFormat="1" applyFont="1"/>
    <xf numFmtId="3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 wrapText="1"/>
    </xf>
    <xf numFmtId="0" fontId="0" fillId="0" borderId="4" xfId="0" applyBorder="1"/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right"/>
    </xf>
    <xf numFmtId="4" fontId="0" fillId="0" borderId="4" xfId="0" applyNumberFormat="1" applyBorder="1"/>
    <xf numFmtId="3" fontId="7" fillId="0" borderId="0" xfId="0" applyNumberFormat="1" applyFont="1" applyAlignment="1">
      <alignment horizontal="right"/>
    </xf>
    <xf numFmtId="4" fontId="7" fillId="6" borderId="5" xfId="0" applyNumberFormat="1" applyFont="1" applyFill="1"/>
    <xf numFmtId="4" fontId="7" fillId="0" borderId="2" xfId="0" applyNumberFormat="1" applyFont="1" applyBorder="1"/>
    <xf numFmtId="2" fontId="0" fillId="6" borderId="5" xfId="0" applyNumberFormat="1" applyFill="1"/>
    <xf numFmtId="3" fontId="7" fillId="6" borderId="5" xfId="0" applyNumberFormat="1" applyFont="1" applyFill="1"/>
    <xf numFmtId="0" fontId="7" fillId="6" borderId="5" xfId="0" applyFont="1" applyFill="1"/>
    <xf numFmtId="0" fontId="12" fillId="0" borderId="0" xfId="0" applyFont="1"/>
    <xf numFmtId="0" fontId="2" fillId="0" borderId="0" xfId="0" applyFont="1"/>
    <xf numFmtId="2" fontId="2" fillId="0" borderId="0" xfId="0" applyNumberFormat="1" applyFont="1"/>
    <xf numFmtId="4" fontId="7" fillId="7" borderId="6" xfId="0" applyNumberFormat="1" applyFont="1" applyFill="1"/>
    <xf numFmtId="0" fontId="0" fillId="0" borderId="0" xfId="0" applyAlignment="1">
      <alignment wrapText="1"/>
    </xf>
    <xf numFmtId="3" fontId="7" fillId="8" borderId="7" xfId="0" applyNumberFormat="1" applyFont="1" applyFill="1"/>
    <xf numFmtId="0" fontId="0" fillId="8" borderId="7" xfId="0" applyFill="1"/>
    <xf numFmtId="2" fontId="7" fillId="9" borderId="8" xfId="0" applyNumberFormat="1" applyFont="1" applyFill="1" applyAlignment="1">
      <alignment horizontal="center"/>
    </xf>
    <xf numFmtId="3" fontId="7" fillId="10" borderId="9" xfId="0" applyNumberFormat="1" applyFont="1" applyFill="1"/>
    <xf numFmtId="4" fontId="13" fillId="0" borderId="0" xfId="0" applyNumberFormat="1" applyFont="1" applyAlignment="1">
      <alignment horizontal="left" wrapText="1"/>
    </xf>
    <xf numFmtId="2" fontId="1" fillId="0" borderId="0" xfId="0" applyNumberFormat="1" applyFont="1"/>
    <xf numFmtId="2" fontId="14" fillId="0" borderId="0" xfId="0" applyNumberFormat="1" applyFont="1"/>
    <xf numFmtId="2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wrapText="1"/>
    </xf>
    <xf numFmtId="2" fontId="7" fillId="0" borderId="0" xfId="0" applyNumberFormat="1" applyFont="1" applyAlignment="1">
      <alignment wrapText="1"/>
    </xf>
    <xf numFmtId="2" fontId="10" fillId="0" borderId="0" xfId="0" applyNumberFormat="1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164" fontId="14" fillId="0" borderId="0" xfId="0" applyNumberFormat="1" applyFont="1"/>
    <xf numFmtId="2" fontId="0" fillId="0" borderId="11" xfId="0" applyNumberFormat="1" applyBorder="1"/>
    <xf numFmtId="2" fontId="7" fillId="11" borderId="10" xfId="0" applyNumberFormat="1" applyFont="1" applyFill="1"/>
    <xf numFmtId="0" fontId="7" fillId="0" borderId="0" xfId="0" applyFont="1" applyAlignment="1" quotePrefix="1">
      <alignment/>
    </xf>
    <xf numFmtId="1" fontId="10" fillId="0" borderId="0" xfId="0" applyNumberFormat="1" applyFont="1" applyAlignment="1" quotePrefix="1">
      <alignment horizontal="center" wrapText="1"/>
    </xf>
    <xf numFmtId="0" fontId="0" fillId="0" borderId="0" xfId="0" applyAlignment="1" quotePrefix="1">
      <alignment/>
    </xf>
  </cellXfs>
  <cellStyles count="1">
    <cellStyle name="Normal" xfId="0" builtinId="0" customBuiltin="1"/>
  </cellStyles>
  <tableStyles count="0"/>
  <extLst>
    <ext uri="smNativeData">
      <pm:charStyles xmlns:pm="smNativeData" id="1682803789" count="1">
        <pm:charStyle name="Normal" fontId="0" Id="1"/>
      </pm:charStyles>
      <pm:colors xmlns:pm="smNativeData" id="1682803789" count="28">
        <pm:color name="Periwinkle" rgb="9999FF"/>
        <pm:color name="Plum" rgb="993366"/>
        <pm:color name="Ivory" rgb="FFFFCC"/>
        <pm:color name="Bright Cyan" rgb="CCFFFF"/>
        <pm:color name="Deep Purple" rgb="660066"/>
        <pm:color name="Coral" rgb="FF8080"/>
        <pm:color name="Ocean Blue" rgb="0066CC"/>
        <pm:color name="Ice Blue" rgb="CCCCFF"/>
        <pm:color name="Sky Blue" rgb="00CCFF"/>
        <pm:color name="Light Green" rgb="CCFFCC"/>
        <pm:color name="Light Yellow" rgb="FFFF99"/>
        <pm:color name="Pale Blue" rgb="99CCFF"/>
        <pm:color name="Light Magenta" rgb="FF99CC"/>
        <pm:color name="Lavender" rgb="CC99FF"/>
        <pm:color name="Tan" rgb="FFCC99"/>
        <pm:color name="Light Blue" rgb="3366FF"/>
        <pm:color name="Aqua" rgb="33CCCC"/>
        <pm:color name="Lime" rgb="99CC00"/>
        <pm:color name="Gold" rgb="FFCC00"/>
        <pm:color name="Bright Orange" rgb="FF9900"/>
        <pm:color name="Orange" rgb="FF6600"/>
        <pm:color name="Blue Grey" rgb="666699"/>
        <pm:color name="Blue Green" rgb="003366"/>
        <pm:color name="Sea Green" rgb="339966"/>
        <pm:color name="Dark Green1" rgb="003300"/>
        <pm:color name="Olive" rgb="333300"/>
        <pm:color name="Brown1" rgb="993300"/>
        <pm:color name="Indigo Blue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12"/>
  <sheetViews>
    <sheetView colorId="22" defaultGridColor="0" view="normal" zoomScale="87" workbookViewId="0">
      <selection activeCell="A9" sqref="A9"/>
    </sheetView>
  </sheetViews>
  <sheetFormatPr defaultRowHeight="15.80"/>
  <cols>
    <col min="1" max="1" width="105.015038" customWidth="1" style="70"/>
    <col min="2" max="2" width="9.714286" customWidth="1"/>
    <col min="3" max="3" width="20.714286" customWidth="1"/>
    <col min="4" max="4" width="9.714286" customWidth="1" style="1"/>
    <col min="5" max="256" width="9.714286" customWidth="1"/>
  </cols>
  <sheetData>
    <row r="1" spans="4:4">
      <c r="D1"/>
    </row>
    <row r="2" spans="1:4">
      <c r="A2" s="70" t="s">
        <v>0</v>
      </c>
      <c r="D2"/>
    </row>
    <row r="3" spans="1:1">
      <c r="A3" s="70" t="s">
        <v>1</v>
      </c>
    </row>
    <row r="4" spans="4:4">
      <c r="D4"/>
    </row>
    <row r="5" spans="1:4">
      <c r="A5" s="70" t="s">
        <v>2</v>
      </c>
      <c r="D5"/>
    </row>
    <row r="6" spans="3:4">
      <c r="C6" s="70"/>
      <c r="D6"/>
    </row>
    <row r="7" spans="1:4">
      <c r="A7" s="70" t="s">
        <v>3</v>
      </c>
      <c r="D7"/>
    </row>
    <row r="8" spans="4:4">
      <c r="D8"/>
    </row>
    <row r="9" spans="4:4">
      <c r="D9"/>
    </row>
    <row r="10" spans="4:4">
      <c r="D10"/>
    </row>
    <row r="11" spans="4:4">
      <c r="D11"/>
    </row>
    <row r="12" spans="4:4">
      <c r="D12"/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500000" right="0.500000" top="0.500000" bottom="0.500000" header="0.000000" footer="0.000000"/>
  <pageSetup paperSize="9" fitToWidth="1" fitToHeight="1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59"/>
  <sheetViews>
    <sheetView view="normal" topLeftCell="A10" zoomScale="87" workbookViewId="0">
      <selection activeCell="C16" sqref="C16"/>
    </sheetView>
  </sheetViews>
  <sheetFormatPr baseColWidth="9" defaultColWidth="10.000000" defaultRowHeight="15.80"/>
  <cols>
    <col min="1" max="1" width="30.646617" customWidth="1"/>
    <col min="2" max="3" width="9.714286" customWidth="1"/>
    <col min="4" max="4" width="3.609023" customWidth="1"/>
    <col min="5" max="5" width="9.714286" customWidth="1"/>
    <col min="8" max="8" width="7.894737" customWidth="1"/>
    <col min="9" max="9" width="4.421053" customWidth="1"/>
    <col min="10" max="10" width="16.571429" customWidth="1"/>
    <col min="11" max="11" width="10.000000" style="44"/>
    <col min="12" max="12" width="12.593985" customWidth="1"/>
    <col min="13" max="13" width="13.112782" customWidth="1" style="44"/>
    <col min="14" max="14" width="10.000000" style="44"/>
    <col min="16" max="22" width="10.000000" style="44"/>
  </cols>
  <sheetData>
    <row r="1" spans="1:1">
      <c r="A1" t="s">
        <v>4</v>
      </c>
    </row>
    <row r="3" spans="1:1">
      <c r="A3" t="s">
        <v>5</v>
      </c>
    </row>
    <row r="5" spans="1:7">
      <c r="A5" s="19"/>
      <c r="B5" s="45"/>
      <c r="C5" s="46" t="n">
        <v>2022</v>
      </c>
      <c r="D5" s="45"/>
      <c r="E5" s="46" t="n">
        <v>2021</v>
      </c>
      <c r="G5" s="11" t="s">
        <v>6</v>
      </c>
    </row>
    <row r="6" spans="1:13">
      <c r="A6" s="47" t="s">
        <v>7</v>
      </c>
      <c r="B6" s="19"/>
      <c r="C6" s="48" t="s">
        <v>8</v>
      </c>
      <c r="D6" s="19"/>
      <c r="E6" s="48" t="s">
        <v>8</v>
      </c>
      <c r="G6" s="11" t="s">
        <v>8</v>
      </c>
      <c r="M6" t="s">
        <v>9</v>
      </c>
    </row>
    <row r="7" spans="1:21">
      <c r="A7" s="19" t="s">
        <v>10</v>
      </c>
      <c r="B7" s="19"/>
      <c r="C7" s="24">
        <f>K16</f>
        <v>139.449999999999989</v>
      </c>
      <c r="D7" s="19"/>
      <c r="E7" s="24" t="n">
        <v>210</v>
      </c>
      <c r="G7" s="10">
        <f>C7-E7</f>
        <v>-70.5500000000000114</v>
      </c>
      <c r="J7" t="s">
        <v>11</v>
      </c>
      <c r="K7" s="44" t="n">
        <v>12497.909999999998</v>
      </c>
      <c r="M7" s="44" t="s">
        <v>12</v>
      </c>
      <c r="O7" t="s">
        <v>13</v>
      </c>
      <c r="P7" s="44" t="s">
        <v>11</v>
      </c>
      <c r="Q7" s="44" t="s">
        <v>14</v>
      </c>
      <c r="R7" s="44" t="s">
        <v>15</v>
      </c>
      <c r="S7" s="44" t="s">
        <v>16</v>
      </c>
      <c r="T7" s="44" t="s">
        <v>17</v>
      </c>
      <c r="U7" s="44" t="s">
        <v>18</v>
      </c>
    </row>
    <row r="8" spans="1:20">
      <c r="A8" s="19" t="s">
        <v>19</v>
      </c>
      <c r="C8" s="24" t="n">
        <v>0</v>
      </c>
      <c r="D8" s="24"/>
      <c r="E8" s="24" t="n">
        <v>0</v>
      </c>
      <c r="G8" s="10">
        <f>C8-E8</f>
        <v>0</v>
      </c>
      <c r="J8" t="s">
        <v>20</v>
      </c>
      <c r="K8" s="44" t="n">
        <v>693.470000000000027</v>
      </c>
      <c r="L8" t="s">
        <v>21</v>
      </c>
      <c r="Q8" s="76"/>
      <c r="R8" s="76"/>
      <c r="S8" s="76"/>
      <c r="T8" s="76"/>
    </row>
    <row r="9" spans="1:20">
      <c r="A9" s="19" t="s">
        <v>22</v>
      </c>
      <c r="B9" s="19"/>
      <c r="C9" s="24">
        <f>K15-C8</f>
        <v>1869.67000000000007</v>
      </c>
      <c r="D9" s="19"/>
      <c r="E9" s="24" t="n">
        <v>1363.53999999999996</v>
      </c>
      <c r="G9" s="10">
        <f>C9-E9</f>
        <v>506.130000000000109</v>
      </c>
      <c r="J9" t="s">
        <v>23</v>
      </c>
      <c r="K9" s="44" t="n">
        <v>275</v>
      </c>
      <c r="L9" t="s">
        <v>21</v>
      </c>
      <c r="M9" t="s">
        <v>24</v>
      </c>
      <c r="O9" t="s">
        <v>25</v>
      </c>
      <c r="P9" s="44" t="n">
        <v>3.70000000000000018</v>
      </c>
      <c r="Q9" s="76"/>
      <c r="R9" s="76" t="n">
        <v>3.70000000000000018</v>
      </c>
      <c r="S9" s="76"/>
      <c r="T9" s="76"/>
    </row>
    <row r="10" spans="1:20">
      <c r="A10" s="19" t="s">
        <v>26</v>
      </c>
      <c r="B10" s="19"/>
      <c r="C10" s="24">
        <f>K21</f>
        <v>8318.63999999999942</v>
      </c>
      <c r="D10" s="19"/>
      <c r="E10" s="24" t="n">
        <v>7811.9200000000028</v>
      </c>
      <c r="G10" s="10">
        <f>C10-E10</f>
        <v>506.719999999999345</v>
      </c>
      <c r="J10" t="s">
        <v>27</v>
      </c>
      <c r="K10" s="44" t="n">
        <v>0</v>
      </c>
      <c r="M10" t="s">
        <v>28</v>
      </c>
      <c r="O10" t="s">
        <v>29</v>
      </c>
      <c r="P10" s="44" t="n">
        <v>10</v>
      </c>
      <c r="Q10" s="76"/>
      <c r="R10" s="76"/>
      <c r="S10" s="76" t="n">
        <v>10</v>
      </c>
      <c r="T10" s="76"/>
    </row>
    <row r="11" spans="1:21">
      <c r="A11" s="19" t="s">
        <v>30</v>
      </c>
      <c r="B11" s="19"/>
      <c r="C11" s="24">
        <f>K8</f>
        <v>693.470000000000027</v>
      </c>
      <c r="D11" s="19"/>
      <c r="E11" s="24" t="n">
        <v>2344.5</v>
      </c>
      <c r="G11" s="10">
        <f>C11-E11</f>
        <v>-1651.02999999999997</v>
      </c>
      <c r="H11">
        <f>SUM(G7:G11)</f>
        <v>-708.730000000000473</v>
      </c>
      <c r="J11" t="s">
        <v>31</v>
      </c>
      <c r="K11" s="44" t="n">
        <v>1507.60000000000036</v>
      </c>
      <c r="M11"/>
      <c r="O11" t="s">
        <v>32</v>
      </c>
      <c r="P11" s="44" t="n">
        <v>21</v>
      </c>
      <c r="Q11" s="76"/>
      <c r="R11" s="76"/>
      <c r="S11" s="76"/>
      <c r="T11" s="76">
        <f>P11</f>
        <v>21</v>
      </c>
      <c r="U11" s="76"/>
    </row>
    <row r="12" spans="1:21">
      <c r="A12" s="19" t="s">
        <v>33</v>
      </c>
      <c r="B12" s="19"/>
      <c r="C12" s="24">
        <f>K9</f>
        <v>275</v>
      </c>
      <c r="D12" s="19"/>
      <c r="E12" s="24" t="n">
        <v>238.090000000000003</v>
      </c>
      <c r="G12" s="10">
        <f>C12-E12</f>
        <v>36.9099999999999966</v>
      </c>
      <c r="J12" t="s">
        <v>34</v>
      </c>
      <c r="K12" s="44" t="n">
        <v>222.5</v>
      </c>
      <c r="L12" t="s">
        <v>21</v>
      </c>
      <c r="M12" t="s">
        <v>35</v>
      </c>
      <c r="O12" t="s">
        <v>36</v>
      </c>
      <c r="P12" s="44" t="n">
        <v>22.5</v>
      </c>
      <c r="Q12" s="76"/>
      <c r="R12" s="76"/>
      <c r="S12" s="76" t="n">
        <v>22.5</v>
      </c>
      <c r="T12" s="76"/>
      <c r="U12" s="76"/>
    </row>
    <row r="13" spans="1:21">
      <c r="A13" s="19" t="s">
        <v>37</v>
      </c>
      <c r="B13" s="19"/>
      <c r="C13" s="24">
        <f>K22-K33</f>
        <v>2630.19000000000051</v>
      </c>
      <c r="D13" s="19"/>
      <c r="E13" s="24" t="n">
        <v>2796.26000000000022</v>
      </c>
      <c r="G13" s="10">
        <f>C13-E13</f>
        <v>-166.070000000000164</v>
      </c>
      <c r="J13" t="s">
        <v>38</v>
      </c>
      <c r="M13"/>
      <c r="O13" t="s">
        <v>39</v>
      </c>
      <c r="P13" s="44" t="n">
        <v>23</v>
      </c>
      <c r="Q13" s="76"/>
      <c r="R13" s="76" t="n">
        <v>23</v>
      </c>
      <c r="S13" s="76"/>
      <c r="T13" s="76"/>
      <c r="U13" s="76"/>
    </row>
    <row r="14" spans="1:21">
      <c r="A14" s="19" t="s">
        <v>40</v>
      </c>
      <c r="B14" s="24"/>
      <c r="C14" s="24">
        <f>K17</f>
        <v>1009</v>
      </c>
      <c r="D14" s="24"/>
      <c r="E14" s="24" t="n">
        <v>2663</v>
      </c>
      <c r="G14" s="10">
        <f>C14-E14</f>
        <v>-1654</v>
      </c>
      <c r="J14" t="s">
        <v>41</v>
      </c>
      <c r="K14" s="20" t="n">
        <v>87.4399999999999835</v>
      </c>
      <c r="L14" t="s">
        <v>21</v>
      </c>
      <c r="M14" t="s">
        <v>24</v>
      </c>
      <c r="O14" t="s">
        <v>42</v>
      </c>
      <c r="P14" s="44" t="n">
        <v>38.6000000000000014</v>
      </c>
      <c r="Q14" s="76"/>
      <c r="R14" s="76" t="n">
        <v>38.6000000000000014</v>
      </c>
      <c r="S14" s="76"/>
      <c r="T14" s="76"/>
      <c r="U14" s="76"/>
    </row>
    <row r="15" spans="1:21">
      <c r="A15" s="19" t="s">
        <v>43</v>
      </c>
      <c r="B15" s="19"/>
      <c r="C15" s="24">
        <f>K23</f>
        <v>2659.11999999999989</v>
      </c>
      <c r="D15" s="19"/>
      <c r="E15" s="24" t="n">
        <v>3003.33000000000084</v>
      </c>
      <c r="G15" s="10">
        <f>C15-E15</f>
        <v>-344.210000000000036</v>
      </c>
      <c r="J15" t="s">
        <v>44</v>
      </c>
      <c r="K15" s="85" t="n">
        <v>1869.6700000000003</v>
      </c>
      <c r="L15" s="29" t="s">
        <v>21</v>
      </c>
      <c r="M15" t="s">
        <v>45</v>
      </c>
      <c r="O15" t="s">
        <v>46</v>
      </c>
      <c r="P15" s="44" t="n">
        <v>40</v>
      </c>
      <c r="Q15" s="76"/>
      <c r="R15" s="76"/>
      <c r="S15" s="76" t="n">
        <v>40</v>
      </c>
      <c r="T15" s="76"/>
      <c r="U15" s="76"/>
    </row>
    <row r="16" spans="1:21">
      <c r="A16" s="19" t="s">
        <v>47</v>
      </c>
      <c r="B16" s="19"/>
      <c r="C16" s="24">
        <f>'Assets and RFs'!E34</f>
        <v>419</v>
      </c>
      <c r="D16" s="19"/>
      <c r="E16" s="24" t="n">
        <v>2.95000000000000071</v>
      </c>
      <c r="G16" s="10">
        <f>C16-E16</f>
        <v>416.050000000000011</v>
      </c>
      <c r="J16" t="s">
        <v>48</v>
      </c>
      <c r="K16" s="85" t="n">
        <v>139.449999999999989</v>
      </c>
      <c r="L16" t="s">
        <v>21</v>
      </c>
      <c r="M16" t="s">
        <v>49</v>
      </c>
      <c r="O16" t="s">
        <v>50</v>
      </c>
      <c r="P16" s="44" t="n">
        <v>40</v>
      </c>
      <c r="Q16" s="76" t="n">
        <v>40</v>
      </c>
      <c r="R16" s="76"/>
      <c r="S16" s="76"/>
      <c r="T16" s="76"/>
      <c r="U16" s="76"/>
    </row>
    <row r="17" spans="1:21">
      <c r="A17" s="19" t="s">
        <v>41</v>
      </c>
      <c r="B17" s="19"/>
      <c r="C17" s="24">
        <f>K14</f>
        <v>87.4399999999999835</v>
      </c>
      <c r="D17" s="19"/>
      <c r="E17" s="24" t="n">
        <v>99.0100000000000051</v>
      </c>
      <c r="G17" s="10">
        <f>C17-E17</f>
        <v>-11.5700000000000074</v>
      </c>
      <c r="J17" t="s">
        <v>51</v>
      </c>
      <c r="K17" s="44" t="n">
        <v>1009</v>
      </c>
      <c r="L17" t="s">
        <v>21</v>
      </c>
      <c r="M17" t="s">
        <v>52</v>
      </c>
      <c r="O17" t="s">
        <v>32</v>
      </c>
      <c r="P17" s="44" t="n">
        <v>62.2100000000000009</v>
      </c>
      <c r="Q17" s="76"/>
      <c r="R17" s="76"/>
      <c r="S17" s="76"/>
      <c r="T17" s="76">
        <f>P17</f>
        <v>62.2100000000000009</v>
      </c>
      <c r="U17" s="76"/>
    </row>
    <row r="18" spans="1:20">
      <c r="A18" s="19" t="s">
        <v>27</v>
      </c>
      <c r="B18" s="19"/>
      <c r="C18" s="24">
        <f>K10</f>
        <v>0</v>
      </c>
      <c r="D18" s="19"/>
      <c r="E18" s="24" t="n">
        <v>0</v>
      </c>
      <c r="G18" s="10">
        <f>C18-E18</f>
        <v>0</v>
      </c>
      <c r="J18" t="s">
        <v>53</v>
      </c>
      <c r="M18" t="s">
        <v>54</v>
      </c>
      <c r="P18" s="44" t="n">
        <v>209</v>
      </c>
      <c r="Q18" s="76" t="n">
        <v>209</v>
      </c>
      <c r="R18" s="76"/>
      <c r="S18" s="76"/>
      <c r="T18" s="76"/>
    </row>
    <row r="19" spans="1:20">
      <c r="A19" s="19" t="s">
        <v>55</v>
      </c>
      <c r="B19" s="19"/>
      <c r="C19" s="24">
        <f>K12</f>
        <v>222.5</v>
      </c>
      <c r="D19" s="19"/>
      <c r="E19" s="24" t="n">
        <v>567.059999999999945</v>
      </c>
      <c r="G19" s="10">
        <f>C19-E19</f>
        <v>-344.559999999999945</v>
      </c>
      <c r="J19" t="s">
        <v>56</v>
      </c>
      <c r="K19" s="44" t="n">
        <v>6366.5</v>
      </c>
      <c r="M19" t="s">
        <v>57</v>
      </c>
      <c r="O19" t="s">
        <v>58</v>
      </c>
      <c r="P19" s="44" t="n">
        <v>248.400000000000006</v>
      </c>
      <c r="Q19" s="76" t="n">
        <v>248.400000000000006</v>
      </c>
      <c r="R19" s="76"/>
      <c r="S19" s="76"/>
      <c r="T19" s="76"/>
    </row>
    <row r="20" spans="1:20">
      <c r="A20" s="19" t="s">
        <v>31</v>
      </c>
      <c r="B20" s="19"/>
      <c r="C20" s="24">
        <f>K11</f>
        <v>1507.60000000000036</v>
      </c>
      <c r="D20" s="19"/>
      <c r="E20" s="24" t="n">
        <v>0</v>
      </c>
      <c r="G20" s="10">
        <f>C20-E20</f>
        <v>1507.59999999999991</v>
      </c>
      <c r="J20" t="s">
        <v>59</v>
      </c>
      <c r="M20" t="s">
        <v>60</v>
      </c>
      <c r="O20" t="s">
        <v>61</v>
      </c>
      <c r="P20" s="44" t="n">
        <v>600</v>
      </c>
      <c r="Q20" s="76" t="n">
        <v>600</v>
      </c>
      <c r="R20" s="76"/>
      <c r="S20" s="76"/>
      <c r="T20" s="76"/>
    </row>
    <row r="21" spans="1:21">
      <c r="A21" s="19" t="s">
        <v>62</v>
      </c>
      <c r="B21" s="19"/>
      <c r="C21" s="24">
        <f>P18</f>
        <v>209</v>
      </c>
      <c r="D21" s="19"/>
      <c r="E21" s="24" t="n">
        <v>154</v>
      </c>
      <c r="G21" s="10">
        <f>C21-E21</f>
        <v>55</v>
      </c>
      <c r="J21" t="s">
        <v>63</v>
      </c>
      <c r="K21" s="44" t="n">
        <v>8318.63999999999942</v>
      </c>
      <c r="L21" t="s">
        <v>21</v>
      </c>
      <c r="M21" t="s">
        <v>64</v>
      </c>
      <c r="O21" t="s">
        <v>65</v>
      </c>
      <c r="P21" s="44" t="n">
        <v>1167</v>
      </c>
      <c r="Q21" s="76"/>
      <c r="R21" s="76"/>
      <c r="S21" s="76"/>
      <c r="T21" s="76"/>
      <c r="U21" s="44" t="n">
        <v>1167</v>
      </c>
    </row>
    <row r="22" spans="1:20">
      <c r="A22" s="19" t="s">
        <v>66</v>
      </c>
      <c r="B22" s="19"/>
      <c r="C22" s="24">
        <f>P20</f>
        <v>600</v>
      </c>
      <c r="D22" s="19"/>
      <c r="E22" s="24" t="n">
        <v>0</v>
      </c>
      <c r="G22" s="10">
        <f>C22-E22</f>
        <v>600</v>
      </c>
      <c r="J22" t="s">
        <v>67</v>
      </c>
      <c r="K22" s="44" t="n">
        <v>4221.8100000000004</v>
      </c>
      <c r="L22" t="s">
        <v>21</v>
      </c>
      <c r="M22" t="s">
        <v>68</v>
      </c>
      <c r="O22" t="s">
        <v>69</v>
      </c>
      <c r="P22" s="44" t="n">
        <v>10000</v>
      </c>
      <c r="Q22" s="76" t="n">
        <v>10000</v>
      </c>
      <c r="R22" s="76"/>
      <c r="S22" s="76"/>
      <c r="T22" s="76"/>
    </row>
    <row r="23" spans="1:20">
      <c r="A23" s="19" t="s">
        <v>70</v>
      </c>
      <c r="B23" s="19"/>
      <c r="C23" s="24">
        <f>P16</f>
        <v>40</v>
      </c>
      <c r="D23" s="19"/>
      <c r="E23" s="24" t="n">
        <v>0</v>
      </c>
      <c r="F23" s="19"/>
      <c r="G23" s="10">
        <f>C23-E23</f>
        <v>40</v>
      </c>
      <c r="J23" t="s">
        <v>71</v>
      </c>
      <c r="K23" s="44" t="n">
        <v>2659.11999999999989</v>
      </c>
      <c r="L23" t="s">
        <v>21</v>
      </c>
      <c r="M23" t="s">
        <v>72</v>
      </c>
      <c r="O23" t="s">
        <v>36</v>
      </c>
      <c r="P23" s="44" t="n">
        <v>12.5</v>
      </c>
      <c r="Q23" s="76"/>
      <c r="R23" s="76"/>
      <c r="S23" s="76" t="n">
        <v>12.5</v>
      </c>
      <c r="T23" s="76"/>
    </row>
    <row r="24" spans="1:22">
      <c r="A24" s="19" t="s">
        <v>73</v>
      </c>
      <c r="B24" s="19"/>
      <c r="C24" s="24" t="n">
        <v>0</v>
      </c>
      <c r="D24" s="19"/>
      <c r="E24" s="24" t="n">
        <v>0</v>
      </c>
      <c r="F24" s="19"/>
      <c r="G24" s="10">
        <f>C24-E24</f>
        <v>0</v>
      </c>
      <c r="J24" t="s">
        <v>74</v>
      </c>
      <c r="K24" s="44" t="n">
        <v>90</v>
      </c>
      <c r="L24" t="s">
        <v>21</v>
      </c>
      <c r="M24"/>
      <c r="P24" s="44">
        <f>SUM(P9:P23)</f>
        <v>12497.9099999999999</v>
      </c>
      <c r="Q24" s="44">
        <f>SUM(Q9:Q23)</f>
        <v>11097.3999999999996</v>
      </c>
      <c r="R24" s="44">
        <f>SUM(R9:R23)</f>
        <v>65.2999999999999972</v>
      </c>
      <c r="S24" s="44">
        <f>SUM(S9:S23)</f>
        <v>85</v>
      </c>
      <c r="T24" s="44">
        <f>SUM(T9:T23)</f>
        <v>83.210000000000008</v>
      </c>
      <c r="U24" s="44">
        <f>SUM(U9:U23)</f>
        <v>1167</v>
      </c>
      <c r="V24" s="44">
        <f>SUM(Q24:U24)</f>
        <v>12497.909999999998</v>
      </c>
    </row>
    <row r="25" spans="1:18">
      <c r="A25" s="19" t="s">
        <v>75</v>
      </c>
      <c r="B25" s="19"/>
      <c r="C25" s="24">
        <f>P19</f>
        <v>248.400000000000006</v>
      </c>
      <c r="D25" s="19"/>
      <c r="E25" s="24" t="n">
        <v>234.599999999999994</v>
      </c>
      <c r="F25" s="19"/>
      <c r="G25" s="10">
        <f>C25-E25</f>
        <v>13.8000000000000114</v>
      </c>
      <c r="R25" s="20"/>
    </row>
    <row r="26" spans="1:18">
      <c r="A26" s="19" t="s">
        <v>11</v>
      </c>
      <c r="B26" s="19"/>
      <c r="C26" s="24">
        <f>R24+S24+T24</f>
        <v>233.509999999999991</v>
      </c>
      <c r="D26" s="19"/>
      <c r="E26" s="24" t="n">
        <v>0</v>
      </c>
      <c r="F26" s="19"/>
      <c r="G26" s="10">
        <f>C26-E26</f>
        <v>233.509999999999991</v>
      </c>
      <c r="R26" s="20"/>
    </row>
    <row r="27" spans="1:18">
      <c r="A27" s="19" t="s">
        <v>76</v>
      </c>
      <c r="B27" s="19"/>
      <c r="C27" s="24">
        <f>K24</f>
        <v>90</v>
      </c>
      <c r="D27" s="19"/>
      <c r="E27" s="24" t="n">
        <v>80</v>
      </c>
      <c r="G27" s="10">
        <f>C27-E27</f>
        <v>10</v>
      </c>
      <c r="J27" t="s">
        <v>77</v>
      </c>
      <c r="K27" s="44">
        <f>C16</f>
        <v>419</v>
      </c>
      <c r="L27" t="s">
        <v>21</v>
      </c>
      <c r="R27" s="20"/>
    </row>
    <row r="28" spans="1:18">
      <c r="A28" s="19" t="s">
        <v>68</v>
      </c>
      <c r="B28" s="19"/>
      <c r="C28" s="24">
        <f>P22</f>
        <v>10000</v>
      </c>
      <c r="D28" s="19"/>
      <c r="E28" s="24" t="n">
        <v>18285.3300000000017</v>
      </c>
      <c r="F28" s="19"/>
      <c r="G28" s="10">
        <f>C28-E28</f>
        <v>-8285.33000000000175</v>
      </c>
      <c r="R28" s="20"/>
    </row>
    <row r="29" spans="1:7">
      <c r="A29" s="19"/>
      <c r="B29" s="19"/>
      <c r="C29" s="19"/>
      <c r="D29" s="19"/>
      <c r="E29" s="19"/>
      <c r="F29" s="19"/>
      <c r="G29" s="19"/>
    </row>
    <row r="30" spans="1:18">
      <c r="A30" s="49" t="s">
        <v>78</v>
      </c>
      <c r="B30" s="49"/>
      <c r="C30" s="24">
        <f>SUM(C7:C28)</f>
        <v>31251.9900000000016</v>
      </c>
      <c r="D30" s="24"/>
      <c r="E30" s="24">
        <f>SUM(E7:E28)</f>
        <v>39853.5900000000111</v>
      </c>
      <c r="G30" s="10">
        <f>SUM(G7:G29)</f>
        <v>-8601.60000000000218</v>
      </c>
      <c r="K30" s="20">
        <f>SUM(K7:K28)</f>
        <v>40377.1100000000006</v>
      </c>
      <c r="M30" s="44" t="s">
        <v>79</v>
      </c>
      <c r="O30" s="44">
        <f>SUM(C21:C26)+C28</f>
        <v>11330.9099999999999</v>
      </c>
      <c r="Q30" s="20"/>
      <c r="R30" s="20"/>
    </row>
    <row r="31" spans="1:15">
      <c r="A31" s="19"/>
      <c r="B31" s="19"/>
      <c r="C31" s="50"/>
      <c r="D31" s="50"/>
      <c r="E31" s="50"/>
      <c r="G31" s="10"/>
      <c r="M31" s="44" t="s">
        <v>80</v>
      </c>
      <c r="O31" s="44">
        <f>P24-U24</f>
        <v>11330.9099999999999</v>
      </c>
    </row>
    <row r="32" spans="1:5">
      <c r="A32" s="25"/>
      <c r="B32" s="25"/>
      <c r="C32" s="50"/>
      <c r="D32" s="50"/>
      <c r="E32" s="50"/>
    </row>
    <row r="33" spans="1:12">
      <c r="A33" s="25" t="s">
        <v>81</v>
      </c>
      <c r="B33" s="25"/>
      <c r="C33" s="50" t="s">
        <v>82</v>
      </c>
      <c r="D33" s="50"/>
      <c r="E33" s="50" t="s">
        <v>83</v>
      </c>
      <c r="H33" t="s">
        <v>84</v>
      </c>
      <c r="J33" s="2"/>
      <c r="K33" s="63">
        <f>FLOOR(K19/4,0.01)</f>
        <v>1591.62000000000012</v>
      </c>
      <c r="L33" t="s">
        <v>85</v>
      </c>
    </row>
    <row r="35" spans="1:12">
      <c r="A35" s="19"/>
      <c r="B35" s="19"/>
      <c r="C35" s="19"/>
      <c r="D35" s="19"/>
      <c r="E35" s="19"/>
      <c r="K35" s="44">
        <f>K30-U24-K33</f>
        <v>37618.489999999998</v>
      </c>
      <c r="L35" t="s">
        <v>86</v>
      </c>
    </row>
    <row r="36" spans="1:5">
      <c r="A36" s="19"/>
      <c r="B36" s="19"/>
      <c r="C36" s="19"/>
      <c r="D36" s="19"/>
      <c r="E36" s="19"/>
    </row>
    <row r="37" spans="1:5">
      <c r="A37" s="19"/>
      <c r="B37" s="19"/>
      <c r="C37" s="19"/>
      <c r="D37" s="19"/>
      <c r="E37" s="19"/>
    </row>
    <row r="38" spans="1:5">
      <c r="A38" s="19"/>
      <c r="B38" s="19"/>
      <c r="C38" s="19"/>
      <c r="D38" s="19"/>
      <c r="E38" s="19"/>
    </row>
    <row r="39" spans="1:5">
      <c r="A39" s="47" t="s">
        <v>87</v>
      </c>
      <c r="B39" s="19"/>
      <c r="C39" s="48" t="s">
        <v>8</v>
      </c>
      <c r="D39" s="48"/>
      <c r="E39" s="48" t="s">
        <v>8</v>
      </c>
    </row>
    <row r="40" spans="1:11">
      <c r="A40" s="19" t="s">
        <v>88</v>
      </c>
      <c r="B40" s="19"/>
      <c r="C40" s="24">
        <f>K45</f>
        <v>11709.6800000000003</v>
      </c>
      <c r="D40" s="24"/>
      <c r="E40" s="24" t="n">
        <v>11532.6399999999994</v>
      </c>
      <c r="G40" s="10">
        <f>C40-E40</f>
        <v>177.040000000000873</v>
      </c>
      <c r="J40" t="s">
        <v>11</v>
      </c>
      <c r="K40" s="44" t="n">
        <v>1407.79999999999995</v>
      </c>
    </row>
    <row r="41" spans="1:13">
      <c r="A41" s="19" t="s">
        <v>89</v>
      </c>
      <c r="B41" s="19"/>
      <c r="C41" s="24">
        <f>K46</f>
        <v>475</v>
      </c>
      <c r="D41" s="24"/>
      <c r="E41" s="24" t="n">
        <v>879</v>
      </c>
      <c r="G41" s="10">
        <f>C41-E41</f>
        <v>-404</v>
      </c>
      <c r="J41" t="s">
        <v>90</v>
      </c>
      <c r="K41" s="44" t="n">
        <v>148.52000000000001</v>
      </c>
      <c r="M41" t="s">
        <v>9</v>
      </c>
    </row>
    <row r="42" spans="1:14">
      <c r="A42" s="19" t="s">
        <v>91</v>
      </c>
      <c r="B42" s="19"/>
      <c r="C42" s="24">
        <f>K47</f>
        <v>827.549999999999841</v>
      </c>
      <c r="D42" s="24"/>
      <c r="E42" s="24" t="n">
        <v>519.100000000000023</v>
      </c>
      <c r="G42" s="10">
        <f>C42-E42</f>
        <v>308.449999999999932</v>
      </c>
      <c r="J42" t="s">
        <v>92</v>
      </c>
      <c r="K42" s="44" t="n">
        <v>336.430000000000007</v>
      </c>
      <c r="M42" s="44" t="s">
        <v>93</v>
      </c>
      <c r="N42" s="44" t="n">
        <v>50</v>
      </c>
    </row>
    <row r="43" spans="1:14">
      <c r="A43" s="19" t="s">
        <v>94</v>
      </c>
      <c r="B43" s="19"/>
      <c r="C43" s="24">
        <f>K52</f>
        <v>4280.73999999999978</v>
      </c>
      <c r="D43" s="24"/>
      <c r="E43" s="24" t="n">
        <v>4163.47999999999956</v>
      </c>
      <c r="G43" s="10">
        <f>C43-E43</f>
        <v>117.260000000000218</v>
      </c>
      <c r="J43" t="s">
        <v>95</v>
      </c>
      <c r="K43" s="44" t="n">
        <v>28.1799999999999997</v>
      </c>
      <c r="M43" t="s">
        <v>96</v>
      </c>
      <c r="N43" s="44" t="n">
        <v>120</v>
      </c>
    </row>
    <row r="44" spans="1:14">
      <c r="A44" s="19" t="s">
        <v>97</v>
      </c>
      <c r="B44" s="19"/>
      <c r="C44" s="24">
        <f>K48</f>
        <v>2079.19000000000005</v>
      </c>
      <c r="D44" s="24"/>
      <c r="E44" s="24" t="n">
        <v>2164.80999999999995</v>
      </c>
      <c r="G44" s="10">
        <f>C44-E44</f>
        <v>-85.6199999999998909</v>
      </c>
      <c r="J44" t="s">
        <v>98</v>
      </c>
      <c r="K44" s="44" t="n">
        <v>75</v>
      </c>
      <c r="M44" t="s">
        <v>99</v>
      </c>
      <c r="N44" s="44" t="n">
        <v>70.7999999999999972</v>
      </c>
    </row>
    <row r="45" spans="1:15">
      <c r="A45" s="19" t="s">
        <v>100</v>
      </c>
      <c r="B45" s="19"/>
      <c r="C45" s="24">
        <f>K49</f>
        <v>1556.61999999999966</v>
      </c>
      <c r="D45" s="24"/>
      <c r="E45" s="24" t="n">
        <v>1068.04999999999995</v>
      </c>
      <c r="G45" s="10">
        <f>C45-E45</f>
        <v>488.569999999999936</v>
      </c>
      <c r="J45" t="s">
        <v>101</v>
      </c>
      <c r="K45" s="44" t="n">
        <v>11709.6800000000003</v>
      </c>
      <c r="M45" s="44" t="s">
        <v>102</v>
      </c>
      <c r="N45" s="44" t="n">
        <v>1167</v>
      </c>
      <c r="O45" t="s">
        <v>18</v>
      </c>
    </row>
    <row r="46" spans="1:11">
      <c r="A46" s="19" t="s">
        <v>98</v>
      </c>
      <c r="B46" s="19"/>
      <c r="C46" s="24">
        <f>K44</f>
        <v>75</v>
      </c>
      <c r="D46" s="24"/>
      <c r="E46" s="24" t="n">
        <v>75</v>
      </c>
      <c r="G46" s="10">
        <f>C46-E46</f>
        <v>0</v>
      </c>
      <c r="J46" t="s">
        <v>103</v>
      </c>
      <c r="K46" s="44" t="n">
        <v>475</v>
      </c>
    </row>
    <row r="47" spans="1:11">
      <c r="A47" s="19" t="s">
        <v>104</v>
      </c>
      <c r="B47" s="19"/>
      <c r="C47" s="24">
        <f>K50</f>
        <v>110</v>
      </c>
      <c r="D47" s="24"/>
      <c r="E47" s="24" t="n">
        <v>60</v>
      </c>
      <c r="G47" s="10">
        <f>C47-E47</f>
        <v>50</v>
      </c>
      <c r="J47" t="s">
        <v>105</v>
      </c>
      <c r="K47" s="44" t="n">
        <v>827.549999999999841</v>
      </c>
    </row>
    <row r="48" spans="1:14">
      <c r="A48" s="19" t="s">
        <v>31</v>
      </c>
      <c r="B48" s="19"/>
      <c r="C48" s="24">
        <f>K43</f>
        <v>28.1799999999999997</v>
      </c>
      <c r="D48" s="24"/>
      <c r="E48" s="24" t="n">
        <v>0</v>
      </c>
      <c r="G48" s="10">
        <f>C48-E48</f>
        <v>28.1799999999999997</v>
      </c>
      <c r="J48" t="s">
        <v>106</v>
      </c>
      <c r="K48" s="44" t="n">
        <v>2079.19000000000005</v>
      </c>
      <c r="N48" s="44">
        <f>SUM(N42:N47)</f>
        <v>1407.79999999999995</v>
      </c>
    </row>
    <row r="49" spans="1:11">
      <c r="A49" s="19" t="s">
        <v>107</v>
      </c>
      <c r="B49" s="19"/>
      <c r="C49" s="24">
        <f>K42</f>
        <v>336.430000000000007</v>
      </c>
      <c r="D49" s="24"/>
      <c r="E49" s="24" t="n">
        <v>138.689999999999998</v>
      </c>
      <c r="G49" s="10">
        <f>C49-E49</f>
        <v>197.740000000000009</v>
      </c>
      <c r="J49" t="s">
        <v>100</v>
      </c>
      <c r="K49" s="44" t="n">
        <v>1556.61999999999966</v>
      </c>
    </row>
    <row r="50" spans="1:11">
      <c r="A50" s="19" t="s">
        <v>90</v>
      </c>
      <c r="B50" s="24"/>
      <c r="C50" s="24">
        <f>K41</f>
        <v>148.52000000000001</v>
      </c>
      <c r="D50" s="24"/>
      <c r="E50" s="24" t="n">
        <v>0</v>
      </c>
      <c r="F50" s="24"/>
      <c r="G50" s="24"/>
      <c r="J50" t="s">
        <v>108</v>
      </c>
      <c r="K50" s="44" t="n">
        <v>110</v>
      </c>
    </row>
    <row r="51" spans="1:11">
      <c r="A51" s="24" t="s">
        <v>11</v>
      </c>
      <c r="B51" s="24"/>
      <c r="C51" s="24">
        <f>N54</f>
        <v>240.799999999999955</v>
      </c>
      <c r="D51" s="24"/>
      <c r="E51" s="24" t="n">
        <v>281.480000000000018</v>
      </c>
      <c r="F51" s="24"/>
      <c r="G51" s="24"/>
    </row>
    <row r="52" spans="1:11">
      <c r="A52" s="19"/>
      <c r="B52" s="19"/>
      <c r="C52" s="24"/>
      <c r="D52" s="24"/>
      <c r="E52" s="24"/>
      <c r="G52" s="10"/>
      <c r="J52" t="s">
        <v>94</v>
      </c>
      <c r="K52" s="44" t="n">
        <v>4280.73999999999978</v>
      </c>
    </row>
    <row r="53" spans="1:13">
      <c r="A53" s="25" t="s">
        <v>109</v>
      </c>
      <c r="B53" s="25"/>
      <c r="C53" s="24">
        <f>SUM(C40:C52)</f>
        <v>21867.7099999999991</v>
      </c>
      <c r="D53" s="24"/>
      <c r="E53" s="24">
        <f>SUM(E40:E52)</f>
        <v>20882.25</v>
      </c>
      <c r="G53" s="24">
        <f>SUM(G40:G50)</f>
        <v>877.620000000001028</v>
      </c>
      <c r="J53" t="s">
        <v>110</v>
      </c>
      <c r="M53" s="44" t="s">
        <v>111</v>
      </c>
    </row>
    <row r="54" spans="1:14">
      <c r="A54" s="25"/>
      <c r="B54" s="25"/>
      <c r="C54" s="50"/>
      <c r="E54" s="24"/>
      <c r="K54" s="44">
        <f>SUM(K40:K53)</f>
        <v>23034.7099999999991</v>
      </c>
      <c r="L54" s="44">
        <f>K54-N45</f>
        <v>21867.7099999999991</v>
      </c>
      <c r="N54">
        <f>N48-N45</f>
        <v>240.799999999999955</v>
      </c>
    </row>
    <row r="55" spans="1:5">
      <c r="A55" s="25"/>
      <c r="B55" s="25"/>
      <c r="C55" s="50"/>
      <c r="E55" s="24"/>
    </row>
    <row r="56" spans="1:5">
      <c r="A56" s="19" t="s">
        <v>112</v>
      </c>
      <c r="B56" s="19"/>
      <c r="C56" s="50">
        <f>C30-C53</f>
        <v>9384.28000000000247</v>
      </c>
      <c r="D56" s="24"/>
      <c r="E56" s="50">
        <f>E30-E53</f>
        <v>18971.3399999999965</v>
      </c>
    </row>
    <row r="58" spans="1:1">
      <c r="A58" s="19" t="s">
        <v>113</v>
      </c>
    </row>
    <row r="59" spans="2:5">
      <c r="B59" s="25"/>
      <c r="E59" s="50"/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4:J52"/>
  <sheetViews>
    <sheetView tabSelected="1" colorId="22" defaultGridColor="0" view="normal" zoomScale="87" workbookViewId="0">
      <selection activeCell="F4" sqref="F4:F17"/>
    </sheetView>
  </sheetViews>
  <sheetFormatPr defaultRowHeight="15.80"/>
  <cols>
    <col min="1" max="1" width="24.676692" customWidth="1" style="12"/>
    <col min="2" max="4" width="9.714286" customWidth="1" style="12"/>
    <col min="5" max="5" width="7.563910" customWidth="1" style="12"/>
    <col min="6" max="256" width="9.714286" customWidth="1" style="12"/>
  </cols>
  <sheetData>
    <row r="4" spans="1:6">
      <c r="A4" s="20" t="s">
        <v>114</v>
      </c>
      <c r="C4" s="46">
        <f>'R&amp;PforReport'!C5</f>
        <v>2022</v>
      </c>
      <c r="D4" s="77"/>
      <c r="E4" s="77">
        <f>'R&amp;PforReport'!E5</f>
        <v>2021</v>
      </c>
      <c r="F4" s="46">
        <f>'R&amp;PforReport'!E5</f>
        <v>2021</v>
      </c>
    </row>
    <row r="5" spans="1:6">
      <c r="A5" s="77"/>
      <c r="C5" s="78" t="s">
        <v>8</v>
      </c>
      <c r="D5" s="78"/>
      <c r="E5" s="78"/>
      <c r="F5" s="78" t="s">
        <v>8</v>
      </c>
    </row>
    <row r="6" spans="1:6">
      <c r="A6" s="79" t="s">
        <v>115</v>
      </c>
      <c r="C6" s="80"/>
      <c r="D6" s="80"/>
      <c r="E6" s="80"/>
      <c r="F6" s="80"/>
    </row>
    <row r="7" spans="1:6">
      <c r="A7" s="80" t="s">
        <v>116</v>
      </c>
      <c r="C7" s="24">
        <f>'Bank balances'!G42</f>
        <v>12796.5499999999993</v>
      </c>
      <c r="D7" s="20"/>
      <c r="E7" s="20"/>
      <c r="F7" s="24" t="n">
        <v>14881.1599999999999</v>
      </c>
    </row>
    <row r="8" spans="1:6">
      <c r="A8" s="80" t="s">
        <v>117</v>
      </c>
      <c r="C8" s="24">
        <f>F34</f>
        <v>38290.4300000000003</v>
      </c>
      <c r="D8" s="20"/>
      <c r="E8" s="20"/>
      <c r="F8" s="24" t="n">
        <v>26834.0400000000009</v>
      </c>
    </row>
    <row r="9" spans="1:6">
      <c r="A9" s="20"/>
      <c r="C9" s="20"/>
      <c r="D9" s="20"/>
      <c r="E9" s="20"/>
      <c r="F9" s="20"/>
    </row>
    <row r="10" spans="1:6">
      <c r="A10" s="22" t="s">
        <v>118</v>
      </c>
      <c r="C10" s="24">
        <f>SUM(C7:C9)</f>
        <v>51086.9799999999959</v>
      </c>
      <c r="D10" s="24"/>
      <c r="E10" s="24"/>
      <c r="F10" s="24" t="n">
        <v>41715.1999999999971</v>
      </c>
    </row>
    <row r="11" spans="1:6">
      <c r="A11" s="22"/>
      <c r="C11" s="24"/>
      <c r="D11" s="24"/>
      <c r="E11" s="24"/>
      <c r="F11" s="24"/>
    </row>
    <row r="12" spans="1:6">
      <c r="A12" s="81" t="s">
        <v>119</v>
      </c>
      <c r="C12" s="24"/>
      <c r="D12" s="24"/>
      <c r="E12" s="24"/>
      <c r="F12" s="24"/>
    </row>
    <row r="13" spans="1:6">
      <c r="A13" s="80" t="s">
        <v>117</v>
      </c>
      <c r="C13" s="24">
        <f>F38</f>
        <v>41278.4800000000105</v>
      </c>
      <c r="D13" s="24"/>
      <c r="E13" s="24"/>
      <c r="F13" s="24" t="n">
        <v>11951.4899999999998</v>
      </c>
    </row>
    <row r="14" spans="1:6">
      <c r="A14" s="20"/>
      <c r="C14" s="24"/>
      <c r="D14" s="24"/>
      <c r="E14" s="24"/>
      <c r="F14" s="24"/>
    </row>
    <row r="15" spans="1:6">
      <c r="A15" s="20"/>
      <c r="C15" s="24"/>
      <c r="D15" s="24"/>
      <c r="E15" s="24"/>
      <c r="F15" s="24"/>
    </row>
    <row r="16" spans="1:6">
      <c r="A16" s="81" t="s">
        <v>120</v>
      </c>
      <c r="C16" s="24">
        <f>C10+C13</f>
        <v>92365.4600000000064</v>
      </c>
      <c r="D16" s="24"/>
      <c r="E16" s="24"/>
      <c r="F16" s="24" t="n">
        <v>53666.6900000000023</v>
      </c>
    </row>
    <row r="17" spans="1:9">
      <c r="A17" s="20" t="s">
        <v>6</v>
      </c>
      <c r="C17" s="24">
        <f>C16-F16</f>
        <v>38698.7700000000041</v>
      </c>
      <c r="D17" s="24"/>
      <c r="E17" s="24"/>
      <c r="F17" s="24" t="n">
        <v>48153.7799999999988</v>
      </c>
      <c r="H17" s="24">
        <f>H31+'R&amp;PforReport'!C56</f>
        <v>38711.2700000000041</v>
      </c>
      <c r="I17" s="24" t="s">
        <v>6</v>
      </c>
    </row>
    <row r="18" spans="1:6">
      <c r="A18" s="20"/>
      <c r="B18" s="20"/>
      <c r="C18" s="20"/>
      <c r="D18" s="20"/>
      <c r="E18" s="20"/>
      <c r="F18" s="20"/>
    </row>
    <row r="19" spans="1:6">
      <c r="A19" s="14"/>
      <c r="B19" s="14"/>
      <c r="C19" s="14"/>
      <c r="D19" s="14"/>
      <c r="E19" s="14"/>
      <c r="F19" s="14"/>
    </row>
    <row r="20" spans="1:6">
      <c r="A20" s="14"/>
      <c r="B20" s="14"/>
      <c r="C20" s="14"/>
      <c r="D20" s="14"/>
      <c r="E20" s="14"/>
      <c r="F20" s="14"/>
    </row>
    <row r="21" spans="1:6">
      <c r="A21" s="81" t="s">
        <v>119</v>
      </c>
      <c r="B21" s="46">
        <f>C4</f>
        <v>2022</v>
      </c>
      <c r="C21" s="20"/>
      <c r="D21" s="20"/>
      <c r="E21" s="20"/>
      <c r="F21" s="20"/>
    </row>
    <row r="22" spans="1:6">
      <c r="A22" s="43"/>
      <c r="B22" s="82" t="s">
        <v>121</v>
      </c>
      <c r="C22" s="83" t="s">
        <v>122</v>
      </c>
      <c r="D22" s="83" t="s">
        <v>123</v>
      </c>
      <c r="E22" s="83" t="s">
        <v>77</v>
      </c>
      <c r="F22" s="82" t="s">
        <v>124</v>
      </c>
    </row>
    <row r="23" spans="1:6">
      <c r="A23" s="43"/>
      <c r="B23" s="83" t="s">
        <v>8</v>
      </c>
      <c r="C23" s="83" t="s">
        <v>8</v>
      </c>
      <c r="D23" s="83" t="s">
        <v>8</v>
      </c>
      <c r="E23" s="83" t="s">
        <v>8</v>
      </c>
      <c r="F23" s="83" t="s">
        <v>8</v>
      </c>
    </row>
    <row r="24" spans="1:6">
      <c r="A24" s="20" t="s">
        <v>125</v>
      </c>
      <c r="B24" s="24">
        <f>'Deposit Account'!B9</f>
        <v>2542.13000000000011</v>
      </c>
      <c r="C24" s="24">
        <f>'Deposit Account'!S9</f>
        <v>30952.4500000000007</v>
      </c>
      <c r="D24" s="24">
        <f>'Deposit Account'!T9</f>
        <v>221.460000000000008</v>
      </c>
      <c r="E24" s="24">
        <f>'Deposit Account'!U9</f>
        <v>252.700000000000017</v>
      </c>
      <c r="F24" s="24">
        <f>B24+C24-D24+E24</f>
        <v>33525.8199999999997</v>
      </c>
    </row>
    <row r="25" spans="1:6">
      <c r="A25" s="20" t="s">
        <v>126</v>
      </c>
      <c r="B25" s="24">
        <f>'Deposit Account'!B10</f>
        <v>145.969999999999999</v>
      </c>
      <c r="C25" s="24">
        <f>'Deposit Account'!S10</f>
        <v>0</v>
      </c>
      <c r="D25" s="24">
        <f>'Deposit Account'!T10</f>
        <v>0</v>
      </c>
      <c r="E25" s="24">
        <f>'Deposit Account'!U10</f>
        <v>1.96999999999999993</v>
      </c>
      <c r="F25" s="24">
        <f>B25+C25-D25+E25</f>
        <v>147.939999999999998</v>
      </c>
    </row>
    <row r="26" spans="1:6">
      <c r="A26" s="19" t="s">
        <v>127</v>
      </c>
      <c r="B26" s="24">
        <f>'Deposit Account'!B11</f>
        <v>177.360000000000014</v>
      </c>
      <c r="C26" s="24">
        <f>'Deposit Account'!S11</f>
        <v>100</v>
      </c>
      <c r="D26" s="24">
        <f>'Deposit Account'!T11</f>
        <v>160</v>
      </c>
      <c r="E26" s="24">
        <f>'Deposit Account'!U11</f>
        <v>1.87000000000000011</v>
      </c>
      <c r="F26" s="24">
        <f>B26+C26-D26+E26</f>
        <v>119.230000000000004</v>
      </c>
    </row>
    <row r="27" spans="1:6">
      <c r="A27" s="19" t="s">
        <v>128</v>
      </c>
      <c r="B27" s="24">
        <f>'Deposit Account'!B12</f>
        <v>1892.28999999999996</v>
      </c>
      <c r="C27" s="24">
        <f>'Deposit Account'!S12</f>
        <v>100</v>
      </c>
      <c r="D27" s="24">
        <f>'Deposit Account'!T12</f>
        <v>286.569999999999993</v>
      </c>
      <c r="E27" s="24">
        <f>'Deposit Account'!U12</f>
        <v>23.1799999999999997</v>
      </c>
      <c r="F27" s="24">
        <f>B27+C27-D27+E27</f>
        <v>1728.90000000000009</v>
      </c>
    </row>
    <row r="28" spans="1:6">
      <c r="A28" s="20" t="s">
        <v>129</v>
      </c>
      <c r="B28" s="24">
        <f>'Deposit Account'!B13</f>
        <v>3824.40999999999985</v>
      </c>
      <c r="C28" s="24">
        <f>'Deposit Account'!S13</f>
        <v>0</v>
      </c>
      <c r="D28" s="24">
        <f>'Deposit Account'!T13</f>
        <v>1275.48000000000002</v>
      </c>
      <c r="E28" s="24">
        <f>'Deposit Account'!U13</f>
        <v>43.1200000000000045</v>
      </c>
      <c r="F28" s="24">
        <f>B28+C28-D28+E28</f>
        <v>2592.04999999999973</v>
      </c>
    </row>
    <row r="29" spans="1:6">
      <c r="A29" s="20" t="s">
        <v>130</v>
      </c>
      <c r="B29" s="24" t="n">
        <v>0</v>
      </c>
      <c r="C29" s="24" t="n">
        <v>333.670000000000016</v>
      </c>
      <c r="D29" s="24" t="n">
        <v>0</v>
      </c>
      <c r="E29" s="24" t="n">
        <v>0</v>
      </c>
      <c r="F29" s="24">
        <f>B29+C29-D29+E29</f>
        <v>333.670000000000016</v>
      </c>
    </row>
    <row r="30" spans="1:6">
      <c r="A30" s="20" t="s">
        <v>131</v>
      </c>
      <c r="B30" s="24">
        <f>'Deposit Account'!B15</f>
        <v>3369.32999999999993</v>
      </c>
      <c r="C30" s="24">
        <f>'Deposit Account'!S15</f>
        <v>0</v>
      </c>
      <c r="D30" s="24">
        <f>'Deposit Account'!T15</f>
        <v>580</v>
      </c>
      <c r="E30" s="24">
        <f>'Deposit Account'!U15</f>
        <v>41.5400000000000063</v>
      </c>
      <c r="F30" s="24">
        <f>B30+C30-D30+E30</f>
        <v>2830.86999999999989</v>
      </c>
    </row>
    <row r="31" spans="1:9">
      <c r="A31" s="22" t="s">
        <v>132</v>
      </c>
      <c r="B31" s="24">
        <f>SUM(B24:B30)</f>
        <v>11951.4899999999998</v>
      </c>
      <c r="C31" s="24">
        <f>SUM(C24:C30)</f>
        <v>31486.119999999999</v>
      </c>
      <c r="D31" s="24">
        <f>SUM(D24:D30)</f>
        <v>2523.51000000000022</v>
      </c>
      <c r="E31" s="24">
        <f>SUM(E24:E30)</f>
        <v>364.380000000000052</v>
      </c>
      <c r="F31" s="24">
        <f>SUM(F24:F30)</f>
        <v>41278.4800000000105</v>
      </c>
      <c r="H31" s="24">
        <f>F31-B31</f>
        <v>29326.9900000000052</v>
      </c>
      <c r="I31" s="24" t="s">
        <v>6</v>
      </c>
    </row>
    <row r="32" spans="1:9">
      <c r="A32" s="20"/>
      <c r="B32" s="20"/>
      <c r="C32" s="20"/>
      <c r="D32" s="20"/>
      <c r="E32" s="20"/>
      <c r="F32" s="20"/>
      <c r="H32" s="24">
        <f>H17-H31-'R&amp;PforReport'!C56</f>
        <v>0</v>
      </c>
      <c r="I32" s="24" t="s">
        <v>133</v>
      </c>
    </row>
    <row r="33" spans="1:10">
      <c r="A33" s="20"/>
      <c r="B33" s="24"/>
      <c r="C33" s="24"/>
      <c r="D33" s="24"/>
      <c r="E33" s="24"/>
      <c r="F33" s="24"/>
      <c r="G33" s="15"/>
      <c r="J33" s="10"/>
    </row>
    <row r="34" spans="1:10">
      <c r="A34" s="20" t="s">
        <v>134</v>
      </c>
      <c r="B34" s="24">
        <f>'Deposit Account'!B16</f>
        <v>26834.0400000000009</v>
      </c>
      <c r="C34" s="24">
        <f>'Deposit Account'!S16</f>
        <v>0</v>
      </c>
      <c r="D34" s="24">
        <f>'Deposit Account'!T16</f>
        <v>0</v>
      </c>
      <c r="E34" s="24">
        <f>E35-SUM(E24:E30)</f>
        <v>419</v>
      </c>
      <c r="F34" s="24">
        <f>F35-SUM(F24:F30)</f>
        <v>38290.4300000000003</v>
      </c>
      <c r="G34" s="20"/>
      <c r="J34" s="10"/>
    </row>
    <row r="35" spans="1:10">
      <c r="A35" s="20"/>
      <c r="B35" s="24">
        <f>SUM(B24:B30)+B34</f>
        <v>38785.5299999999988</v>
      </c>
      <c r="C35" s="24">
        <f>SUM(C24:C30)+C34</f>
        <v>31486.119999999999</v>
      </c>
      <c r="D35" s="24">
        <f>SUM(D24:D30)+D34</f>
        <v>2523.51000000000022</v>
      </c>
      <c r="E35" s="24">
        <f>'Bank balances'!G51</f>
        <v>783.380000000000109</v>
      </c>
      <c r="F35" s="24">
        <f>'Deposit Account'!R24</f>
        <v>79568.9100000000035</v>
      </c>
      <c r="J35" s="10"/>
    </row>
    <row r="36" spans="1:6">
      <c r="A36" s="22"/>
      <c r="B36" s="24"/>
      <c r="C36" s="24"/>
      <c r="D36" s="24"/>
      <c r="E36" s="24"/>
      <c r="F36" s="24"/>
    </row>
    <row r="37" spans="1:6">
      <c r="A37" s="20" t="s">
        <v>135</v>
      </c>
      <c r="B37" s="24">
        <f>SUM(B24:B28)</f>
        <v>8582.15999999999985</v>
      </c>
      <c r="C37" s="24">
        <f>SUM(C24:C28)</f>
        <v>31152.4500000000007</v>
      </c>
      <c r="D37" s="24">
        <f>SUM(D24:D28)</f>
        <v>1943.50999999999999</v>
      </c>
      <c r="E37" s="24">
        <f>SUM(E24:E28)</f>
        <v>322.840000000000032</v>
      </c>
      <c r="F37" s="24">
        <f>SUM(F24:F28)</f>
        <v>38113.9400000000096</v>
      </c>
    </row>
    <row r="38" spans="1:6">
      <c r="A38" s="20" t="s">
        <v>136</v>
      </c>
      <c r="B38" s="24">
        <f>SUM(B24:B30)</f>
        <v>11951.4899999999998</v>
      </c>
      <c r="C38" s="24">
        <f>SUM(C24:C30)</f>
        <v>31486.119999999999</v>
      </c>
      <c r="D38" s="24">
        <f>SUM(D24:D30)</f>
        <v>2523.51000000000022</v>
      </c>
      <c r="E38" s="24">
        <f>SUM(E24:E30)</f>
        <v>364.380000000000052</v>
      </c>
      <c r="F38" s="24">
        <f>SUM(F24:F30)</f>
        <v>41278.4800000000105</v>
      </c>
    </row>
    <row r="39" spans="1:9">
      <c r="A39" s="20" t="s">
        <v>137</v>
      </c>
      <c r="B39" s="24"/>
      <c r="C39" s="24"/>
      <c r="D39" s="24"/>
      <c r="E39" s="24"/>
      <c r="F39" s="24">
        <f>C16-F37</f>
        <v>54251.5200000000041</v>
      </c>
      <c r="G39" s="16">
        <f>C10+F29+F30</f>
        <v>54251.5200000000041</v>
      </c>
      <c r="H39" s="16"/>
      <c r="I39" s="16"/>
    </row>
    <row r="40" spans="1:7">
      <c r="A40" s="22"/>
      <c r="B40" s="77"/>
      <c r="C40" s="84"/>
      <c r="D40" s="84"/>
      <c r="E40" s="84"/>
      <c r="F40" s="84"/>
      <c r="G40" s="17"/>
    </row>
    <row r="41" spans="3:3">
      <c r="C41" s="13"/>
    </row>
    <row r="45" spans="2:6">
      <c r="B45" s="15"/>
      <c r="F45" s="15"/>
    </row>
    <row r="52" spans="7:7">
      <c r="G52" s="18"/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500000" right="0.500000" top="0.500000" bottom="0.500000" header="0.000000" footer="0.000000"/>
  <pageSetup paperSize="9" fitToWidth="1" fitToHeight="1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96"/>
  <sheetViews>
    <sheetView colorId="22" defaultGridColor="0" view="normal" topLeftCell="K1" zoomScale="91" workbookViewId="0">
      <selection activeCell="U24" sqref="U24"/>
    </sheetView>
  </sheetViews>
  <sheetFormatPr defaultRowHeight="16.60"/>
  <cols>
    <col min="1" max="1" width="25.714286" customWidth="1" style="19"/>
    <col min="2" max="2" width="9.714286" customWidth="1" style="19"/>
    <col min="3" max="3" width="8.714286" customWidth="1" style="19"/>
    <col min="4" max="5" width="7.714286" customWidth="1" style="19"/>
    <col min="6" max="7" width="8.714286" customWidth="1" style="19"/>
    <col min="8" max="9" width="7.714286" customWidth="1" style="19"/>
    <col min="10" max="11" width="8.714286" customWidth="1" style="19"/>
    <col min="12" max="13" width="8.007519" customWidth="1" style="19"/>
    <col min="14" max="15" width="8.714286" customWidth="1" style="19"/>
    <col min="16" max="17" width="8.007519" customWidth="1" style="19"/>
    <col min="18" max="18" width="8.714286" customWidth="1" style="19"/>
    <col min="19" max="256" width="9.714286" customWidth="1" style="19"/>
  </cols>
  <sheetData>
    <row r="1" spans="1:1">
      <c r="A1" s="19" t="s">
        <v>138</v>
      </c>
    </row>
    <row r="2" spans="1:1">
      <c r="A2" s="19" t="s">
        <v>139</v>
      </c>
    </row>
    <row r="3" spans="1:1">
      <c r="A3" s="87" t="s">
        <v>140</v>
      </c>
    </row>
    <row r="4" spans="1:18">
      <c r="A4" s="19" t="s">
        <v>141</v>
      </c>
      <c r="R4" s="20"/>
    </row>
    <row r="5" spans="18:18">
      <c r="R5" s="20"/>
    </row>
    <row r="6" spans="1:21">
      <c r="A6" s="43" t="s">
        <v>142</v>
      </c>
      <c r="K6"/>
      <c r="O6" s="87" t="s">
        <v>143</v>
      </c>
      <c r="R6" s="20"/>
      <c r="U6" s="87" t="s">
        <v>144</v>
      </c>
    </row>
    <row r="7" spans="1:22">
      <c r="A7" s="20" t="s">
        <v>145</v>
      </c>
      <c r="B7" s="73" t="s">
        <v>146</v>
      </c>
      <c r="C7" s="21" t="s">
        <v>147</v>
      </c>
      <c r="D7" s="21" t="s">
        <v>148</v>
      </c>
      <c r="E7" s="21" t="s">
        <v>149</v>
      </c>
      <c r="F7" s="73" t="s">
        <v>150</v>
      </c>
      <c r="G7" s="21" t="s">
        <v>151</v>
      </c>
      <c r="H7" s="21" t="s">
        <v>152</v>
      </c>
      <c r="I7" s="21" t="s">
        <v>153</v>
      </c>
      <c r="J7" s="73" t="s">
        <v>154</v>
      </c>
      <c r="K7" s="21" t="s">
        <v>155</v>
      </c>
      <c r="L7" s="21" t="s">
        <v>156</v>
      </c>
      <c r="M7" s="21" t="s">
        <v>157</v>
      </c>
      <c r="N7" s="73" t="s">
        <v>158</v>
      </c>
      <c r="O7" s="21" t="s">
        <v>159</v>
      </c>
      <c r="P7" s="21" t="s">
        <v>160</v>
      </c>
      <c r="Q7" s="21" t="s">
        <v>161</v>
      </c>
      <c r="R7" s="73" t="s">
        <v>162</v>
      </c>
      <c r="S7" s="19" t="s">
        <v>163</v>
      </c>
      <c r="T7" s="19" t="s">
        <v>164</v>
      </c>
      <c r="U7" s="21" t="s">
        <v>77</v>
      </c>
      <c r="V7" s="19" t="s">
        <v>165</v>
      </c>
    </row>
    <row r="8" spans="1:21">
      <c r="A8" s="22" t="s">
        <v>166</v>
      </c>
      <c r="B8" s="20"/>
      <c r="C8" s="23">
        <f>0.0035/4</f>
        <v>0.000875000000000000178</v>
      </c>
      <c r="D8" s="23"/>
      <c r="E8" s="23"/>
      <c r="F8" s="23"/>
      <c r="G8" s="23">
        <f>0.00797/4</f>
        <v>0.00199249999999999972</v>
      </c>
      <c r="H8" s="23"/>
      <c r="I8" s="23"/>
      <c r="J8" s="23"/>
      <c r="K8" s="23">
        <f>0.016/4</f>
        <v>0.004</v>
      </c>
      <c r="L8" s="23"/>
      <c r="M8" s="23"/>
      <c r="N8" s="23"/>
      <c r="O8" s="23">
        <f>0.0261/4</f>
        <v>0.00652500000000000036</v>
      </c>
      <c r="P8" s="23"/>
      <c r="Q8" s="23"/>
      <c r="R8" s="20"/>
      <c r="U8" s="20"/>
    </row>
    <row r="9" spans="1:21">
      <c r="A9" s="19" t="s">
        <v>167</v>
      </c>
      <c r="B9" s="61" t="n">
        <v>2542.13000000000011</v>
      </c>
      <c r="C9" s="24">
        <f>ROUND(B9*C$8,2)</f>
        <v>2.2200000000000002</v>
      </c>
      <c r="D9" s="24">
        <f>(40+4000+40)*5/4</f>
        <v>5100</v>
      </c>
      <c r="E9" s="24"/>
      <c r="F9" s="24">
        <f>SUM(B9:D9)-E9</f>
        <v>7644.35000000000036</v>
      </c>
      <c r="G9" s="24">
        <f>ROUND(F9*G$8,2)</f>
        <v>15.2300000000000004</v>
      </c>
      <c r="H9" s="24">
        <f>FLOOR(5.5+80+79.24+230+69.28+30+(25+9.5+20+4.5+20+31.5+50+100+45)*5/4,0.01)</f>
        <v>875.889999999999986</v>
      </c>
      <c r="I9" s="24" t="n">
        <v>221.460000000000008</v>
      </c>
      <c r="J9" s="24">
        <f>SUM(F9:H9)-I9</f>
        <v>8314.01000000000022</v>
      </c>
      <c r="K9" s="24">
        <f>ROUND(J9*K$8,2)</f>
        <v>33.259999999999998</v>
      </c>
      <c r="L9" s="24">
        <f>25+588.26+62.28+175.53+172.9+(50+6+1000+55+50)*5/4+20000+134</f>
        <v>22609.2200000000012</v>
      </c>
      <c r="M9" s="24"/>
      <c r="N9" s="24">
        <f>SUM(J9:L9)-M9</f>
        <v>30956.4900000000016</v>
      </c>
      <c r="O9" s="24">
        <f>ROUND(N9*O$8,2)</f>
        <v>201.990000000000009</v>
      </c>
      <c r="P9" s="24">
        <f>(26+70+500+150+7+37+30)*5/4+74.15+158.24+36.56+121.04+370.25+274.2+62.22+59.06+186.62</f>
        <v>2367.33999999999969</v>
      </c>
      <c r="Q9" s="24"/>
      <c r="R9" s="24">
        <f>SUM(N9:P9)-Q9</f>
        <v>33525.8199999999997</v>
      </c>
      <c r="S9" s="24">
        <f>D9+H9+L9+P9</f>
        <v>30952.4500000000007</v>
      </c>
      <c r="T9" s="24">
        <f>E9+I9+M9+Q9</f>
        <v>221.460000000000008</v>
      </c>
      <c r="U9" s="24">
        <f>C9+G9+K9+O9</f>
        <v>252.700000000000017</v>
      </c>
    </row>
    <row r="10" spans="1:21">
      <c r="A10" s="19" t="s">
        <v>168</v>
      </c>
      <c r="B10" s="61" t="n">
        <v>145.969999999999999</v>
      </c>
      <c r="C10" s="24">
        <f>ROUND(B10*C$8,2)</f>
        <v>0.130000000000000004</v>
      </c>
      <c r="D10" s="24"/>
      <c r="E10" s="24"/>
      <c r="F10" s="24">
        <f>SUM(B10:D10)-E10</f>
        <v>146.099999999999994</v>
      </c>
      <c r="G10" s="24">
        <f>ROUND(F10*G$8,2)</f>
        <v>0.29</v>
      </c>
      <c r="H10" s="24"/>
      <c r="I10" s="24"/>
      <c r="J10" s="24">
        <f>SUM(F10:H10)-I10</f>
        <v>146.389999999999986</v>
      </c>
      <c r="K10" s="24">
        <f>ROUND(J10*K$8,2)</f>
        <v>0.589999999999999947</v>
      </c>
      <c r="L10" s="24"/>
      <c r="M10" s="24"/>
      <c r="N10" s="24">
        <f>SUM(J10:L10)-M10</f>
        <v>146.97999999999999</v>
      </c>
      <c r="O10" s="24">
        <f>ROUND(N10*O$8,2)</f>
        <v>0.959999999999999964</v>
      </c>
      <c r="P10" s="24"/>
      <c r="Q10" s="24"/>
      <c r="R10" s="24">
        <f>SUM(N10:P10)-Q10</f>
        <v>147.939999999999998</v>
      </c>
      <c r="S10" s="24">
        <f>D10+H10+L10+P10</f>
        <v>0</v>
      </c>
      <c r="T10" s="24">
        <f>E10+I10+M10+Q10</f>
        <v>0</v>
      </c>
      <c r="U10" s="24">
        <f>C10+G10+K10+O10</f>
        <v>1.96999999999999993</v>
      </c>
    </row>
    <row r="11" spans="1:21">
      <c r="A11" s="19" t="s">
        <v>169</v>
      </c>
      <c r="B11" s="61" t="n">
        <v>177.360000000000014</v>
      </c>
      <c r="C11" s="24">
        <f>ROUND(B11*C$8,2)</f>
        <v>0.160000000000000009</v>
      </c>
      <c r="D11" s="24"/>
      <c r="E11" s="24"/>
      <c r="F11" s="24">
        <f>SUM(B11:D11)-E11</f>
        <v>177.52000000000001</v>
      </c>
      <c r="G11" s="24">
        <f>ROUND(F11*G$8,2)</f>
        <v>0.35</v>
      </c>
      <c r="H11" s="24"/>
      <c r="I11" s="24" t="n">
        <v>80</v>
      </c>
      <c r="J11" s="24">
        <f>SUM(F11:H11)-I11</f>
        <v>97.8700000000000045</v>
      </c>
      <c r="K11" s="24">
        <f>ROUND(J11*K$8,2)</f>
        <v>0.390000000000000036</v>
      </c>
      <c r="L11" s="24" t="n">
        <v>50</v>
      </c>
      <c r="M11" s="24"/>
      <c r="N11" s="24">
        <f>SUM(J11:L11)-M11</f>
        <v>148.259999999999991</v>
      </c>
      <c r="O11" s="24">
        <f>ROUND(N11*O$8,2)</f>
        <v>0.969999999999999929</v>
      </c>
      <c r="P11" s="24" t="n">
        <v>50</v>
      </c>
      <c r="Q11" s="24" t="n">
        <v>80</v>
      </c>
      <c r="R11" s="24">
        <f>SUM(N11:P11)-Q11</f>
        <v>119.22999999999999</v>
      </c>
      <c r="S11" s="24">
        <f>D11+H11+L11+P11</f>
        <v>100</v>
      </c>
      <c r="T11" s="24">
        <f>E11+I11+M11+Q11</f>
        <v>160</v>
      </c>
      <c r="U11" s="24">
        <f>C11+G11+K11+O11</f>
        <v>1.87000000000000011</v>
      </c>
    </row>
    <row r="12" spans="1:21">
      <c r="A12" s="19" t="s">
        <v>128</v>
      </c>
      <c r="B12" s="61" t="n">
        <v>1892.28999999999996</v>
      </c>
      <c r="C12" s="24">
        <f>ROUND(B12*C$8,2)</f>
        <v>1.65999999999999996</v>
      </c>
      <c r="D12" s="24"/>
      <c r="E12" s="24">
        <f>33.64*3</f>
        <v>100.920000000000002</v>
      </c>
      <c r="F12" s="24">
        <f>SUM(B12:D12)-E12</f>
        <v>1793.02999999999997</v>
      </c>
      <c r="G12" s="24">
        <f>ROUND(F12*G$8,2)</f>
        <v>3.56999999999999984</v>
      </c>
      <c r="H12" s="24"/>
      <c r="I12" s="24" t="n">
        <v>111.390000000000001</v>
      </c>
      <c r="J12" s="24">
        <f>SUM(F12:H12)-I12</f>
        <v>1685.20999999999981</v>
      </c>
      <c r="K12" s="24">
        <f>ROUND(J12*K$8,2)</f>
        <v>6.74000000000000021</v>
      </c>
      <c r="L12" s="24" t="n">
        <v>100</v>
      </c>
      <c r="M12" s="24" t="n">
        <v>74.2600000000000051</v>
      </c>
      <c r="N12" s="24">
        <f>SUM(J12:L12)-M12</f>
        <v>1717.69000000000005</v>
      </c>
      <c r="O12" s="24">
        <f>ROUND(N12*O$8,2)</f>
        <v>11.2100000000000009</v>
      </c>
      <c r="P12" s="24"/>
      <c r="Q12" s="24"/>
      <c r="R12" s="24">
        <f>SUM(N12:P12)-Q12</f>
        <v>1728.90000000000009</v>
      </c>
      <c r="S12" s="24">
        <f>D12+H12+L12+P12</f>
        <v>100</v>
      </c>
      <c r="T12" s="24">
        <f>E12+I12+M12+Q12</f>
        <v>286.569999999999993</v>
      </c>
      <c r="U12" s="24">
        <f>C12+G12+K12+O12</f>
        <v>23.1799999999999997</v>
      </c>
    </row>
    <row r="13" spans="1:21">
      <c r="A13" s="20" t="s">
        <v>129</v>
      </c>
      <c r="B13" s="61" t="n">
        <v>3824.40999999999985</v>
      </c>
      <c r="C13" s="24">
        <f>ROUND(B13*C$8,2)</f>
        <v>3.35000000000000009</v>
      </c>
      <c r="D13" s="24"/>
      <c r="E13" s="24"/>
      <c r="F13" s="24">
        <f>SUM(B13:D13)-E13</f>
        <v>3827.76000000000022</v>
      </c>
      <c r="G13" s="24">
        <f>ROUND(F13*G$8,2)</f>
        <v>7.62999999999999989</v>
      </c>
      <c r="H13" s="24"/>
      <c r="I13" s="24"/>
      <c r="J13" s="24">
        <f>SUM(F13:H13)-I13</f>
        <v>3835.38999999999987</v>
      </c>
      <c r="K13" s="24">
        <f>ROUND(J13*K$8,2)</f>
        <v>15.3399999999999999</v>
      </c>
      <c r="L13" s="24"/>
      <c r="M13" s="24">
        <f>1530.57-255.09</f>
        <v>1275.48000000000002</v>
      </c>
      <c r="N13" s="24">
        <f>SUM(J13:L13)-M13</f>
        <v>2575.25</v>
      </c>
      <c r="O13" s="24">
        <f>ROUND(N13*O$8,2)</f>
        <v>16.8000000000000007</v>
      </c>
      <c r="P13" s="24"/>
      <c r="Q13" s="24"/>
      <c r="R13" s="24">
        <f>SUM(N13:P13)-Q13</f>
        <v>2592.05000000000018</v>
      </c>
      <c r="S13" s="24">
        <f>D13+H13+L13+P13</f>
        <v>0</v>
      </c>
      <c r="T13" s="24">
        <f>E13+I13+M13+Q13</f>
        <v>1275.48000000000002</v>
      </c>
      <c r="U13" s="24">
        <f>C13+G13+K13+O13</f>
        <v>43.1200000000000045</v>
      </c>
    </row>
    <row r="14" spans="1:21">
      <c r="A14" s="20" t="s">
        <v>130</v>
      </c>
      <c r="B14" s="61" t="n">
        <v>0</v>
      </c>
      <c r="C14" s="24">
        <f>ROUND(B14*C$8,2)</f>
        <v>0</v>
      </c>
      <c r="D14" s="24"/>
      <c r="E14" s="24"/>
      <c r="F14" s="24">
        <f>SUM(B14:D14)-E14</f>
        <v>0</v>
      </c>
      <c r="G14" s="24">
        <f>ROUND(F14*G$8,2)</f>
        <v>0</v>
      </c>
      <c r="H14" s="24"/>
      <c r="I14" s="24"/>
      <c r="J14" s="24">
        <f>SUM(F14:H14)-I14</f>
        <v>0</v>
      </c>
      <c r="K14" s="24"/>
      <c r="L14" s="24"/>
      <c r="M14" s="24"/>
      <c r="N14" s="24">
        <f>SUM(J14:L14)-M14</f>
        <v>0</v>
      </c>
      <c r="O14" s="24">
        <f>ROUND(N14*O$8,2)</f>
        <v>0</v>
      </c>
      <c r="P14" s="24">
        <f>158.07+175.6</f>
        <v>333.669999999999959</v>
      </c>
      <c r="Q14" s="24"/>
      <c r="R14" s="24">
        <f>SUM(N14:P14)-Q14</f>
        <v>333.670000000000016</v>
      </c>
      <c r="S14" s="24">
        <f>D14+H14+L14+P14</f>
        <v>333.670000000000016</v>
      </c>
      <c r="T14" s="24">
        <f>E14+I14+M14+Q14</f>
        <v>0</v>
      </c>
      <c r="U14" s="24">
        <f>C14+G14+K14+O14</f>
        <v>0</v>
      </c>
    </row>
    <row r="15" spans="1:21">
      <c r="A15" s="20" t="s">
        <v>131</v>
      </c>
      <c r="B15" s="61" t="n">
        <v>3369.32999999999993</v>
      </c>
      <c r="C15" s="24">
        <f>ROUND(B15*C$8,2)</f>
        <v>2.95000000000000018</v>
      </c>
      <c r="D15" s="24"/>
      <c r="E15" s="24"/>
      <c r="F15" s="24">
        <f>SUM(B15:D15)-E15</f>
        <v>3372.2800000000002</v>
      </c>
      <c r="G15" s="24">
        <f>ROUND(F15*G$8,2)</f>
        <v>6.71999999999999975</v>
      </c>
      <c r="H15" s="24"/>
      <c r="I15" s="24"/>
      <c r="J15" s="24">
        <f>SUM(F15:H15)-I15</f>
        <v>3379</v>
      </c>
      <c r="K15" s="24">
        <f>ROUND(J15*K$8,2)</f>
        <v>13.5199999999999996</v>
      </c>
      <c r="L15" s="24"/>
      <c r="M15" s="24" t="n">
        <v>580</v>
      </c>
      <c r="N15" s="24">
        <f>SUM(J15:L15)-M15</f>
        <v>2812.51999999999998</v>
      </c>
      <c r="O15" s="24">
        <f>ROUND(N15*O$8,2)</f>
        <v>18.3500000000000014</v>
      </c>
      <c r="P15" s="24"/>
      <c r="Q15" s="24"/>
      <c r="R15" s="24">
        <f>SUM(N15:P15)-Q15</f>
        <v>2830.86999999999989</v>
      </c>
      <c r="S15" s="24">
        <f>D15+H15+L15+P15</f>
        <v>0</v>
      </c>
      <c r="T15" s="24">
        <f>E15+I15+M15+Q15</f>
        <v>580</v>
      </c>
      <c r="U15" s="24">
        <f>C15+G15+K15+O15</f>
        <v>41.5400000000000063</v>
      </c>
    </row>
    <row r="16" spans="1:22">
      <c r="A16" s="20" t="s">
        <v>134</v>
      </c>
      <c r="B16" s="24">
        <f>B17-B21</f>
        <v>26834.0400000000009</v>
      </c>
      <c r="C16" s="24">
        <f>ROUND(B16*C$8,2)</f>
        <v>23.4800000000000004</v>
      </c>
      <c r="D16" s="24"/>
      <c r="E16" s="24"/>
      <c r="F16" s="24">
        <f>F17-F21</f>
        <v>21858.4400000000023</v>
      </c>
      <c r="G16" s="24">
        <f>ROUND(F16*G$8,2)</f>
        <v>43.5499999999999972</v>
      </c>
      <c r="H16" s="24"/>
      <c r="I16" s="24"/>
      <c r="J16" s="24">
        <f>J17-J21</f>
        <v>21438.7700000000004</v>
      </c>
      <c r="K16" s="24">
        <f>ROUND(J16*K$8,2)</f>
        <v>85.7600000000000051</v>
      </c>
      <c r="L16" s="24"/>
      <c r="M16" s="24"/>
      <c r="N16" s="24">
        <f>N17-N21</f>
        <v>40695.2799999999988</v>
      </c>
      <c r="O16" s="24">
        <f>ROUND(N16*O$8,2)</f>
        <v>265.54000000000002</v>
      </c>
      <c r="P16" s="24"/>
      <c r="Q16" s="24"/>
      <c r="R16" s="24">
        <f>R17-R21</f>
        <v>38290.4300000000003</v>
      </c>
      <c r="S16" s="24">
        <f>D16+H16+L16+P16</f>
        <v>0</v>
      </c>
      <c r="T16" s="24">
        <f>E16+I16+M16+Q16</f>
        <v>0</v>
      </c>
      <c r="U16" s="24">
        <f>C16+G16+K16+O16</f>
        <v>418.330000000000041</v>
      </c>
      <c r="V16" s="86">
        <f>U24-U21</f>
        <v>419</v>
      </c>
    </row>
    <row r="17" spans="1:21">
      <c r="A17" s="22" t="s">
        <v>132</v>
      </c>
      <c r="B17" s="24">
        <f>B24</f>
        <v>38785.5299999999988</v>
      </c>
      <c r="C17" s="24">
        <f>SUM(C9:C16)</f>
        <v>33.9500000000000028</v>
      </c>
      <c r="D17" s="24"/>
      <c r="E17" s="24"/>
      <c r="F17" s="24">
        <f>F24</f>
        <v>38819.4799999999959</v>
      </c>
      <c r="G17" s="24">
        <f>SUM(G9:G16)</f>
        <v>77.3400000000000034</v>
      </c>
      <c r="H17" s="24"/>
      <c r="I17" s="24"/>
      <c r="J17" s="24">
        <f>J24</f>
        <v>38896.6399999999994</v>
      </c>
      <c r="K17" s="24">
        <f>SUM(K9:K16)</f>
        <v>155.600000000000023</v>
      </c>
      <c r="L17" s="24"/>
      <c r="M17" s="24"/>
      <c r="N17" s="24">
        <f>N24</f>
        <v>79052.4700000000012</v>
      </c>
      <c r="O17" s="24">
        <f>SUM(O9:O16)</f>
        <v>515.82000000000005</v>
      </c>
      <c r="P17" s="24"/>
      <c r="Q17" s="24"/>
      <c r="R17" s="24">
        <f>R24</f>
        <v>79568.9100000000035</v>
      </c>
      <c r="S17" s="24">
        <f>SUM(S9:S16)</f>
        <v>31486.119999999999</v>
      </c>
      <c r="T17" s="24">
        <f>SUM(T9:T16)</f>
        <v>2523.51000000000022</v>
      </c>
      <c r="U17" s="24">
        <f>SUM(U9:U16)</f>
        <v>782.710000000000036</v>
      </c>
    </row>
    <row r="18" spans="1:21">
      <c r="A18" s="20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</row>
    <row r="19" spans="1:21">
      <c r="A19" s="25" t="s">
        <v>170</v>
      </c>
      <c r="B19" s="24">
        <f>SUM(B9:B13)</f>
        <v>8582.15999999999985</v>
      </c>
      <c r="C19" s="24"/>
      <c r="D19" s="24"/>
      <c r="E19" s="24"/>
      <c r="F19" s="24">
        <f>SUM(F9:F13)</f>
        <v>13588.760000000002</v>
      </c>
      <c r="G19" s="24"/>
      <c r="H19" s="24"/>
      <c r="I19" s="24"/>
      <c r="J19" s="24">
        <f>SUM(J9:J13)</f>
        <v>14078.869999999999</v>
      </c>
      <c r="K19" s="24"/>
      <c r="L19" s="24"/>
      <c r="M19" s="24"/>
      <c r="N19" s="24">
        <f>SUM(N9:N13)</f>
        <v>35544.6699999999983</v>
      </c>
      <c r="O19" s="24"/>
      <c r="P19" s="24"/>
      <c r="Q19" s="24"/>
      <c r="R19" s="24">
        <f>SUM(R9:R13)</f>
        <v>38113.9400000000096</v>
      </c>
      <c r="S19" s="24">
        <f>SUM(S9:S13)</f>
        <v>31152.4500000000007</v>
      </c>
      <c r="T19" s="24">
        <f>SUM(T9:T13)</f>
        <v>1943.50999999999999</v>
      </c>
      <c r="U19" s="24">
        <f>SUM(U9:U13)</f>
        <v>322.840000000000032</v>
      </c>
    </row>
    <row r="20" spans="1:21">
      <c r="A20" s="25" t="s">
        <v>171</v>
      </c>
      <c r="B20" s="24">
        <f>SUM(B14:B15)</f>
        <v>3369.32999999999993</v>
      </c>
      <c r="C20" s="24"/>
      <c r="D20" s="24"/>
      <c r="E20" s="24"/>
      <c r="F20" s="24">
        <f>SUM(F14:F15)</f>
        <v>3372.2800000000002</v>
      </c>
      <c r="G20" s="24"/>
      <c r="H20" s="24"/>
      <c r="I20" s="24"/>
      <c r="J20" s="24">
        <f>SUM(J14:J15)</f>
        <v>3379</v>
      </c>
      <c r="K20" s="24"/>
      <c r="L20" s="24"/>
      <c r="M20" s="24"/>
      <c r="N20" s="24">
        <f>SUM(N14:N15)</f>
        <v>2812.51999999999998</v>
      </c>
      <c r="O20" s="24"/>
      <c r="P20" s="24"/>
      <c r="Q20" s="24"/>
      <c r="R20" s="24">
        <f>SUM(R14:R15)</f>
        <v>3164.53999999999996</v>
      </c>
      <c r="S20" s="24">
        <f>SUM(S14:S15)</f>
        <v>333.670000000000016</v>
      </c>
      <c r="T20" s="24">
        <f>SUM(T14:T15)</f>
        <v>580</v>
      </c>
      <c r="U20" s="24">
        <f>SUM(U14:U15)</f>
        <v>41.5400000000000063</v>
      </c>
    </row>
    <row r="21" spans="1:21">
      <c r="A21" s="22" t="s">
        <v>172</v>
      </c>
      <c r="B21" s="24">
        <f>B20+B19</f>
        <v>11951.4899999999998</v>
      </c>
      <c r="C21" s="24"/>
      <c r="D21" s="24"/>
      <c r="E21" s="24"/>
      <c r="F21" s="24">
        <f>F20+F19</f>
        <v>16961.0400000000009</v>
      </c>
      <c r="G21" s="24"/>
      <c r="H21" s="24"/>
      <c r="I21" s="24"/>
      <c r="J21" s="24">
        <f>J20+J19</f>
        <v>17457.8700000000026</v>
      </c>
      <c r="K21" s="24"/>
      <c r="L21" s="24"/>
      <c r="M21" s="24"/>
      <c r="N21" s="24">
        <f>N20+N19</f>
        <v>38357.1899999999951</v>
      </c>
      <c r="O21" s="24"/>
      <c r="P21" s="24"/>
      <c r="Q21" s="24"/>
      <c r="R21" s="24">
        <f>R20+R19</f>
        <v>41278.4800000000032</v>
      </c>
      <c r="S21" s="24">
        <f>S20+S19</f>
        <v>31486.119999999999</v>
      </c>
      <c r="T21" s="24">
        <f>T20+T19</f>
        <v>2523.51000000000022</v>
      </c>
      <c r="U21" s="24">
        <f>U20+U19</f>
        <v>364.379999999999995</v>
      </c>
    </row>
    <row r="22" spans="1:21">
      <c r="A22" s="20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</row>
    <row r="23" spans="1:21">
      <c r="A23" s="51" t="s">
        <v>173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 t="s">
        <v>174</v>
      </c>
    </row>
    <row r="24" spans="1:21">
      <c r="A24" s="22" t="s">
        <v>175</v>
      </c>
      <c r="B24" s="61" t="n">
        <v>38785.5299999999988</v>
      </c>
      <c r="C24" s="62"/>
      <c r="D24" s="24"/>
      <c r="E24" s="24"/>
      <c r="F24" s="61">
        <f>B24+C17</f>
        <v>38819.4799999999959</v>
      </c>
      <c r="G24" s="24"/>
      <c r="H24" s="24"/>
      <c r="I24" s="24"/>
      <c r="J24" s="61" t="n">
        <v>38896.6399999999994</v>
      </c>
      <c r="K24" s="29"/>
      <c r="L24" s="24"/>
      <c r="M24" s="24"/>
      <c r="N24" s="61" t="n">
        <v>79052.4700000000012</v>
      </c>
      <c r="O24" s="24"/>
      <c r="P24" s="24"/>
      <c r="Q24" s="24"/>
      <c r="R24" s="61" t="n">
        <v>79568.9100000000035</v>
      </c>
      <c r="S24" s="24"/>
      <c r="T24" s="24"/>
      <c r="U24" s="24">
        <f>'Bank balances'!G51</f>
        <v>783.380000000000109</v>
      </c>
    </row>
    <row r="25" spans="1:21">
      <c r="A25" s="51" t="s">
        <v>176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</row>
    <row r="26" spans="1:21">
      <c r="A26" s="22" t="s">
        <v>177</v>
      </c>
      <c r="B26" s="61" t="n">
        <v>14881.1599999999999</v>
      </c>
      <c r="C26" s="24"/>
      <c r="D26" s="24"/>
      <c r="E26" s="24"/>
      <c r="F26" s="61" t="n">
        <v>14963.9699999999993</v>
      </c>
      <c r="G26" s="24"/>
      <c r="H26" s="24"/>
      <c r="I26" s="24"/>
      <c r="J26" s="61" t="n">
        <v>19491.4599999999991</v>
      </c>
      <c r="K26" s="24"/>
      <c r="L26" s="24"/>
      <c r="M26" s="24"/>
      <c r="N26" s="61" t="n">
        <v>8666.70000000000073</v>
      </c>
      <c r="O26" s="24"/>
      <c r="P26" s="24"/>
      <c r="Q26" s="24"/>
      <c r="R26" s="61" t="n">
        <v>12796.5499999999993</v>
      </c>
      <c r="S26" s="24"/>
      <c r="T26" s="24"/>
      <c r="U26" s="24"/>
    </row>
    <row r="27" spans="1:21">
      <c r="A27" s="22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</row>
    <row r="28" spans="1:21">
      <c r="A28" s="22" t="s">
        <v>178</v>
      </c>
      <c r="B28" s="24">
        <f>B16+B26</f>
        <v>41715.1999999999971</v>
      </c>
      <c r="C28" s="24"/>
      <c r="D28" s="24"/>
      <c r="E28" s="24"/>
      <c r="F28" s="24">
        <f>F16+F26</f>
        <v>36822.4099999999962</v>
      </c>
      <c r="G28" s="24"/>
      <c r="H28" s="24"/>
      <c r="I28" s="24"/>
      <c r="J28" s="24">
        <f>J16+J26</f>
        <v>40930.2299999999959</v>
      </c>
      <c r="K28" s="24"/>
      <c r="L28" s="24"/>
      <c r="M28" s="24"/>
      <c r="N28" s="24">
        <f>N16+N26</f>
        <v>49361.9799999999959</v>
      </c>
      <c r="O28" s="24"/>
      <c r="P28" s="24"/>
      <c r="Q28" s="24"/>
      <c r="R28" s="24">
        <f>R16+R26</f>
        <v>51086.9799999999959</v>
      </c>
      <c r="S28" s="24"/>
      <c r="T28" s="24"/>
      <c r="U28" s="24"/>
    </row>
    <row r="29" spans="1:21">
      <c r="A29" s="20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</row>
    <row r="30" spans="1:21">
      <c r="A30" s="25" t="s">
        <v>179</v>
      </c>
      <c r="B30" s="24">
        <f>B26</f>
        <v>14881.1599999999999</v>
      </c>
      <c r="C30" s="24"/>
      <c r="D30" s="24"/>
      <c r="E30" s="24"/>
      <c r="F30" s="24">
        <f>F26</f>
        <v>14963.9699999999993</v>
      </c>
      <c r="G30" s="24"/>
      <c r="H30" s="24"/>
      <c r="I30" s="24"/>
      <c r="J30" s="24">
        <f>J26</f>
        <v>19491.4599999999991</v>
      </c>
      <c r="K30" s="24"/>
      <c r="L30" s="24"/>
      <c r="M30" s="24"/>
      <c r="N30" s="24">
        <f>N26</f>
        <v>8666.70000000000073</v>
      </c>
      <c r="O30" s="24"/>
      <c r="P30" s="24"/>
      <c r="Q30" s="24"/>
      <c r="R30" s="24">
        <f>R26</f>
        <v>12796.5499999999993</v>
      </c>
      <c r="S30" s="24"/>
      <c r="T30" s="24"/>
      <c r="U30" s="24"/>
    </row>
    <row r="31" spans="1:21">
      <c r="A31" s="25" t="s">
        <v>180</v>
      </c>
      <c r="B31" s="24">
        <f>B24</f>
        <v>38785.5299999999988</v>
      </c>
      <c r="C31" s="24"/>
      <c r="D31" s="24"/>
      <c r="E31" s="24"/>
      <c r="F31" s="24">
        <f>F24</f>
        <v>38819.4799999999959</v>
      </c>
      <c r="G31" s="24"/>
      <c r="H31" s="24"/>
      <c r="I31" s="24"/>
      <c r="J31" s="24">
        <f>J24</f>
        <v>38896.6399999999994</v>
      </c>
      <c r="K31" s="24"/>
      <c r="L31" s="24"/>
      <c r="M31" s="24"/>
      <c r="N31" s="24">
        <f>N24</f>
        <v>79052.4700000000012</v>
      </c>
      <c r="O31" s="24"/>
      <c r="P31" s="24"/>
      <c r="Q31" s="24"/>
      <c r="R31" s="24">
        <f>R24</f>
        <v>79568.9100000000035</v>
      </c>
      <c r="S31" s="24"/>
      <c r="T31" s="24"/>
      <c r="U31" s="24"/>
    </row>
    <row r="32" spans="1:21">
      <c r="A32" s="25" t="s">
        <v>118</v>
      </c>
      <c r="B32" s="24">
        <f>SUM(B30:B31)</f>
        <v>53666.6900000000023</v>
      </c>
      <c r="C32" s="24"/>
      <c r="D32" s="24"/>
      <c r="E32" s="24"/>
      <c r="F32" s="24">
        <f>SUM(F30:F31)</f>
        <v>53783.4499999999971</v>
      </c>
      <c r="G32" s="24"/>
      <c r="H32" s="24"/>
      <c r="I32" s="24"/>
      <c r="J32" s="24">
        <f>SUM(J30:J31)</f>
        <v>58388.0999999999985</v>
      </c>
      <c r="K32" s="24"/>
      <c r="L32" s="24"/>
      <c r="M32" s="24"/>
      <c r="N32" s="24">
        <f>SUM(N30:N31)</f>
        <v>87719.1699999999983</v>
      </c>
      <c r="O32" s="24"/>
      <c r="P32" s="24"/>
      <c r="Q32" s="24"/>
      <c r="R32" s="24">
        <f>SUM(R30:R31)</f>
        <v>92365.4600000000064</v>
      </c>
      <c r="S32" s="24"/>
      <c r="T32" s="24"/>
      <c r="U32" s="24"/>
    </row>
    <row r="33" spans="1:21">
      <c r="A33" s="25" t="s">
        <v>181</v>
      </c>
      <c r="B33" s="24">
        <f>B32-B21</f>
        <v>41715.2000000000044</v>
      </c>
      <c r="C33" s="24"/>
      <c r="D33" s="24"/>
      <c r="E33" s="24"/>
      <c r="F33" s="24">
        <f>F32-F21</f>
        <v>36822.4099999999962</v>
      </c>
      <c r="G33" s="24"/>
      <c r="H33" s="24"/>
      <c r="I33" s="24"/>
      <c r="J33" s="24">
        <f>J32-J21</f>
        <v>40930.2299999999959</v>
      </c>
      <c r="K33" s="24"/>
      <c r="L33" s="24"/>
      <c r="M33" s="24"/>
      <c r="N33" s="24">
        <f>N32-N21</f>
        <v>49361.9799999999959</v>
      </c>
      <c r="O33" s="24"/>
      <c r="P33" s="24"/>
      <c r="Q33" s="24"/>
      <c r="R33" s="24">
        <f>R32-R21</f>
        <v>51086.9800000000032</v>
      </c>
      <c r="S33" s="24"/>
      <c r="T33" s="24"/>
      <c r="U33" s="24"/>
    </row>
    <row r="34" spans="2:18">
      <c r="B34" s="20"/>
      <c r="R34" s="20"/>
    </row>
    <row r="35" spans="1:18">
      <c r="A35" s="26" t="s">
        <v>182</v>
      </c>
      <c r="B35" s="24">
        <f>R32-B32</f>
        <v>38698.7700000000041</v>
      </c>
      <c r="R35" s="20"/>
    </row>
    <row r="36" spans="2:18">
      <c r="B36" s="20"/>
      <c r="R36" s="20"/>
    </row>
    <row r="37" spans="1:18">
      <c r="A37" s="19" t="s">
        <v>183</v>
      </c>
      <c r="B37" s="20"/>
      <c r="J37"/>
      <c r="K37" s="20"/>
      <c r="R37" s="20"/>
    </row>
    <row r="38" spans="1:18">
      <c r="A38" s="19" t="s">
        <v>184</v>
      </c>
      <c r="B38" s="20"/>
      <c r="J38"/>
      <c r="K38" s="20"/>
      <c r="R38" s="20"/>
    </row>
    <row r="39" spans="1:21">
      <c r="A39" s="20" t="s">
        <v>129</v>
      </c>
      <c r="B39" s="61" t="n">
        <v>42120.1600000000035</v>
      </c>
      <c r="C39" s="24">
        <f>ROUND(B39*C$8,2)</f>
        <v>36.8599999999999994</v>
      </c>
      <c r="D39" s="24"/>
      <c r="E39" s="24"/>
      <c r="F39" s="24">
        <f>SUM(B39:D39)-E39</f>
        <v>42157.0199999999968</v>
      </c>
      <c r="G39" s="24">
        <f>ROUND(F39*G$8,2)</f>
        <v>84</v>
      </c>
      <c r="H39" s="24"/>
      <c r="I39" s="24" t="n">
        <v>300</v>
      </c>
      <c r="J39" s="24">
        <f>SUM(F39:H39)-I39</f>
        <v>41941.0199999999968</v>
      </c>
      <c r="K39" s="24">
        <f>ROUND(J39*K$8,2)</f>
        <v>167.759999999999991</v>
      </c>
      <c r="L39" s="24" t="n">
        <v>20000</v>
      </c>
      <c r="M39" s="24">
        <f>1000+29105.05</f>
        <v>30105.0499999999993</v>
      </c>
      <c r="N39" s="24">
        <f>SUM(J39:L39)-M39</f>
        <v>32003.7299999999996</v>
      </c>
      <c r="O39" s="69" t="n">
        <v>1.98000000000000007</v>
      </c>
      <c r="P39" s="24">
        <f>10025+9788.37</f>
        <v>19813.3700000000026</v>
      </c>
      <c r="Q39" s="69">
        <f>29625.18+8800+720+37000+459.9</f>
        <v>76605.0799999999872</v>
      </c>
      <c r="R39" s="24">
        <f>SUM(N39:P39)-Q39</f>
        <v>-24786</v>
      </c>
      <c r="S39" s="24">
        <f>D39+H39+L39+P39</f>
        <v>39813.3699999999953</v>
      </c>
      <c r="T39" s="24">
        <f>E39+I39+M39+Q39</f>
        <v>107010.130000000005</v>
      </c>
      <c r="U39" s="24">
        <f>C39+G39+K39+O39</f>
        <v>290.600000000000023</v>
      </c>
    </row>
    <row r="40" spans="1:20">
      <c r="A40" s="20" t="s">
        <v>185</v>
      </c>
      <c r="B40" s="24" t="n">
        <v>-25055.8300000000017</v>
      </c>
      <c r="C40" s="19" t="n">
        <v>0</v>
      </c>
      <c r="D40" s="19">
        <f>39007+6138.05+9409.11+40993+1520.6+1000</f>
        <v>98067.7599999999948</v>
      </c>
      <c r="E40" s="19">
        <f>829.2+30000+19000+6019.18+146.4+2137.86+6814+20000+214.8</f>
        <v>85161.4400000000023</v>
      </c>
      <c r="F40" s="24">
        <f>SUM(B40:D40)-E40</f>
        <v>-12149.5100000000093</v>
      </c>
      <c r="J40" s="24">
        <f>SUM(F40:H40)-I40</f>
        <v>-12149.5100000000002</v>
      </c>
      <c r="M40" s="19">
        <f>3920.18+570</f>
        <v>4490.18000000000029</v>
      </c>
      <c r="N40" s="24">
        <f>SUM(J40:L40)-M40</f>
        <v>-16639.6900000000023</v>
      </c>
      <c r="P40" s="19">
        <f>784.16</f>
        <v>784.159999999999968</v>
      </c>
      <c r="R40" s="24">
        <f>SUM(N40:P40)-Q40</f>
        <v>-15855.5300000000007</v>
      </c>
      <c r="S40" s="24">
        <f>D40+H40+L40+P40</f>
        <v>98851.9199999999983</v>
      </c>
      <c r="T40" s="24">
        <f>E40+I40+M40+Q40</f>
        <v>89651.6199999999953</v>
      </c>
    </row>
    <row r="41" spans="18:18">
      <c r="R41" s="20"/>
    </row>
    <row r="42" spans="18:18">
      <c r="R42" s="20"/>
    </row>
    <row r="43" spans="18:18">
      <c r="R43" s="20"/>
    </row>
    <row r="44" spans="18:18">
      <c r="R44" s="20"/>
    </row>
    <row r="45" spans="18:18">
      <c r="R45" s="20"/>
    </row>
    <row r="46" spans="2:18">
      <c r="B46" s="20"/>
      <c r="R46" s="20"/>
    </row>
    <row r="47" spans="18:18">
      <c r="R47" s="20"/>
    </row>
    <row r="48" spans="18:18">
      <c r="R48" s="20"/>
    </row>
    <row r="49" spans="18:18">
      <c r="R49" s="20"/>
    </row>
    <row r="50" spans="18:18">
      <c r="R50" s="20"/>
    </row>
    <row r="51" spans="18:18">
      <c r="R51" s="20"/>
    </row>
    <row r="52" spans="18:18">
      <c r="R52" s="20"/>
    </row>
    <row r="53" spans="18:18">
      <c r="R53" s="20"/>
    </row>
    <row r="54" spans="18:18">
      <c r="R54" s="20"/>
    </row>
    <row r="55" spans="18:18">
      <c r="R55" s="20"/>
    </row>
    <row r="56" spans="18:18">
      <c r="R56" s="20"/>
    </row>
    <row r="57" spans="18:18">
      <c r="R57" s="20"/>
    </row>
    <row r="58" spans="18:18">
      <c r="R58" s="20"/>
    </row>
    <row r="59" spans="18:18">
      <c r="R59" s="20"/>
    </row>
    <row r="60" spans="18:18">
      <c r="R60" s="20"/>
    </row>
    <row r="61" spans="18:18">
      <c r="R61" s="20"/>
    </row>
    <row r="62" spans="18:18">
      <c r="R62" s="20"/>
    </row>
    <row r="63" spans="18:18">
      <c r="R63" s="20"/>
    </row>
    <row r="64" spans="18:18">
      <c r="R64" s="20"/>
    </row>
    <row r="65" spans="18:18">
      <c r="R65" s="20"/>
    </row>
    <row r="66" spans="18:18">
      <c r="R66" s="20"/>
    </row>
    <row r="67" spans="18:18">
      <c r="R67" s="20"/>
    </row>
    <row r="68" spans="18:18">
      <c r="R68" s="20"/>
    </row>
    <row r="69" spans="18:18">
      <c r="R69" s="20"/>
    </row>
    <row r="70" spans="18:18">
      <c r="R70" s="20"/>
    </row>
    <row r="71" spans="18:18">
      <c r="R71" s="20"/>
    </row>
    <row r="72" spans="18:18">
      <c r="R72" s="20"/>
    </row>
    <row r="73" spans="18:18">
      <c r="R73" s="20"/>
    </row>
    <row r="74" spans="18:18">
      <c r="R74" s="20"/>
    </row>
    <row r="75" spans="18:18">
      <c r="R75" s="20"/>
    </row>
    <row r="76" spans="18:18">
      <c r="R76" s="20"/>
    </row>
    <row r="77" spans="18:18">
      <c r="R77" s="20"/>
    </row>
    <row r="78" spans="18:18">
      <c r="R78" s="20"/>
    </row>
    <row r="79" spans="18:18">
      <c r="R79" s="20"/>
    </row>
    <row r="80" spans="18:18">
      <c r="R80" s="20"/>
    </row>
    <row r="81" spans="18:18">
      <c r="R81" s="20"/>
    </row>
    <row r="82" spans="18:18">
      <c r="R82" s="20"/>
    </row>
    <row r="83" spans="18:18">
      <c r="R83" s="20"/>
    </row>
    <row r="84" spans="18:18">
      <c r="R84" s="20"/>
    </row>
    <row r="85" spans="18:18">
      <c r="R85" s="20"/>
    </row>
    <row r="86" spans="18:18">
      <c r="R86" s="20"/>
    </row>
    <row r="87" spans="18:18">
      <c r="R87" s="20"/>
    </row>
    <row r="88" spans="18:18">
      <c r="R88" s="20"/>
    </row>
    <row r="89" spans="18:18">
      <c r="R89" s="20"/>
    </row>
    <row r="90" spans="18:18">
      <c r="R90" s="20"/>
    </row>
    <row r="91" spans="18:18">
      <c r="R91" s="20"/>
    </row>
    <row r="92" spans="18:18">
      <c r="R92" s="20"/>
    </row>
    <row r="93" spans="18:18">
      <c r="R93" s="20"/>
    </row>
    <row r="94" spans="18:18">
      <c r="R94" s="20"/>
    </row>
    <row r="95" spans="18:18">
      <c r="R95" s="20"/>
    </row>
    <row r="96" spans="18:18">
      <c r="R96" s="20"/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500000" right="0.500000" top="0.500000" bottom="0.500000" header="0.000000" footer="0.000000"/>
  <pageSetup paperSize="9" fitToWidth="1" fitToHeight="1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75"/>
  <sheetViews>
    <sheetView colorId="22" defaultGridColor="0" view="normal" topLeftCell="A25" zoomScale="87" workbookViewId="0">
      <selection activeCell="C57" sqref="C57"/>
    </sheetView>
  </sheetViews>
  <sheetFormatPr defaultRowHeight="15.80"/>
  <cols>
    <col min="1" max="2" width="8.714286" customWidth="1"/>
    <col min="3" max="3" width="14.714286" customWidth="1"/>
    <col min="4" max="4" width="10.714286" customWidth="1"/>
    <col min="5" max="5" width="39.714286" customWidth="1"/>
    <col min="6" max="6" width="9.714286" customWidth="1"/>
    <col min="7" max="7" width="10.714286" customWidth="1"/>
    <col min="8" max="8" width="8.714286" customWidth="1"/>
    <col min="9" max="256" width="9.714286" customWidth="1"/>
  </cols>
  <sheetData>
    <row r="1" spans="1:7">
      <c r="A1" s="27" t="s">
        <v>186</v>
      </c>
      <c r="B1" s="8"/>
      <c r="E1" s="28" t="str">
        <f>"Opening and closing balances, "&amp;'R&amp;PforReport'!C5</f>
        <v>Opening and closing balances, 2022</v>
      </c>
      <c r="F1" s="29"/>
      <c r="G1" s="29"/>
    </row>
    <row r="2" spans="2:7">
      <c r="B2" s="8"/>
      <c r="F2" s="29"/>
      <c r="G2" s="29"/>
    </row>
    <row r="3" spans="1:9">
      <c r="A3" s="30"/>
      <c r="B3" s="31"/>
      <c r="C3" s="30"/>
      <c r="D3" s="30"/>
      <c r="E3" s="30"/>
      <c r="F3" s="32"/>
      <c r="G3" s="32"/>
      <c r="H3" s="5"/>
      <c r="I3" s="4"/>
    </row>
    <row r="4" spans="1:9" ht="6" customHeight="1">
      <c r="A4" s="5"/>
      <c r="B4" s="6"/>
      <c r="C4" s="7"/>
      <c r="D4" s="7"/>
      <c r="E4" s="7"/>
      <c r="F4" s="33"/>
      <c r="G4" s="34"/>
      <c r="H4" s="5"/>
      <c r="I4" s="4"/>
    </row>
    <row r="5" spans="1:9" ht="13" customHeight="1">
      <c r="A5" s="5"/>
      <c r="B5" s="6"/>
      <c r="C5" s="7"/>
      <c r="D5" s="7"/>
      <c r="E5" s="35" t="s">
        <v>187</v>
      </c>
      <c r="F5" s="33"/>
      <c r="G5" s="34"/>
      <c r="H5" s="5"/>
      <c r="I5" s="4"/>
    </row>
    <row r="6" spans="1:9" ht="13" customHeight="1">
      <c r="A6" s="34"/>
      <c r="B6" s="3"/>
      <c r="C6" s="34"/>
      <c r="D6" s="34"/>
      <c r="E6" s="34" t="s">
        <v>188</v>
      </c>
      <c r="F6" s="34"/>
      <c r="G6" s="34" t="n">
        <v>14397.0300000000007</v>
      </c>
      <c r="H6" s="5"/>
      <c r="I6" s="4"/>
    </row>
    <row r="7" spans="1:9" ht="13" customHeight="1">
      <c r="A7" s="34"/>
      <c r="B7" s="3"/>
      <c r="C7" s="34"/>
      <c r="D7" s="34"/>
      <c r="E7" s="5" t="s">
        <v>189</v>
      </c>
      <c r="F7" s="34"/>
      <c r="G7" s="34"/>
      <c r="H7" s="5"/>
      <c r="I7" s="4"/>
    </row>
    <row r="8" spans="1:9">
      <c r="A8" s="5"/>
      <c r="B8" s="3"/>
      <c r="C8" s="5"/>
      <c r="D8" s="5"/>
      <c r="E8" s="36" t="s">
        <v>190</v>
      </c>
      <c r="F8" s="34" t="n">
        <v>0</v>
      </c>
      <c r="G8" s="34"/>
      <c r="H8" s="5"/>
      <c r="I8" s="4"/>
    </row>
    <row r="9" spans="1:9">
      <c r="A9" s="5"/>
      <c r="B9" s="3"/>
      <c r="C9" s="5"/>
      <c r="D9" s="5"/>
      <c r="E9" s="58" t="s">
        <v>191</v>
      </c>
      <c r="F9" s="59" t="n">
        <v>171.210000000000008</v>
      </c>
      <c r="G9" s="34"/>
      <c r="H9" s="5"/>
      <c r="I9" s="4"/>
    </row>
    <row r="10" spans="1:9">
      <c r="A10" s="5"/>
      <c r="B10" s="3"/>
      <c r="C10" s="5"/>
      <c r="D10" s="5"/>
      <c r="E10" s="58" t="s">
        <v>192</v>
      </c>
      <c r="F10" s="59" t="n">
        <v>866.120000000000005</v>
      </c>
      <c r="G10" s="34"/>
      <c r="H10" s="5"/>
      <c r="I10" s="4"/>
    </row>
    <row r="11" spans="1:9">
      <c r="A11" s="5"/>
      <c r="B11" s="3"/>
      <c r="C11" s="5"/>
      <c r="D11" s="5"/>
      <c r="E11" s="58" t="s">
        <v>193</v>
      </c>
      <c r="F11" s="59" t="n">
        <v>37</v>
      </c>
      <c r="G11" s="59"/>
      <c r="H11" s="5"/>
      <c r="I11" s="4"/>
    </row>
    <row r="12" spans="1:9">
      <c r="A12" s="5"/>
      <c r="B12" s="3"/>
      <c r="C12" s="5"/>
      <c r="D12" s="5"/>
      <c r="E12" s="5"/>
      <c r="F12" s="34"/>
      <c r="G12" s="34">
        <f>SUM(F8:F11)</f>
        <v>1074.32999999999993</v>
      </c>
      <c r="H12" s="5"/>
      <c r="I12" s="4"/>
    </row>
    <row r="13" spans="1:9">
      <c r="A13" s="5"/>
      <c r="B13" s="3"/>
      <c r="C13" s="5"/>
      <c r="D13" s="5"/>
      <c r="E13" s="5" t="s">
        <v>194</v>
      </c>
      <c r="F13" s="34"/>
      <c r="G13" s="34"/>
      <c r="H13" s="5"/>
      <c r="I13" s="4"/>
    </row>
    <row r="14" spans="1:9">
      <c r="A14" s="5"/>
      <c r="B14" s="3"/>
      <c r="C14" s="5"/>
      <c r="D14" s="5"/>
      <c r="E14" s="37" t="s">
        <v>195</v>
      </c>
      <c r="F14" s="34" t="n">
        <v>313.100000000000023</v>
      </c>
      <c r="G14" s="34"/>
      <c r="H14" s="5"/>
      <c r="I14" s="4"/>
    </row>
    <row r="15" spans="1:9">
      <c r="A15" s="5"/>
      <c r="B15" s="3"/>
      <c r="C15" s="5"/>
      <c r="D15" s="5"/>
      <c r="E15" s="37" t="s">
        <v>196</v>
      </c>
      <c r="F15" s="34" t="n">
        <v>178</v>
      </c>
      <c r="G15" s="34"/>
      <c r="H15" s="5"/>
      <c r="I15" s="4"/>
    </row>
    <row r="16" spans="1:9">
      <c r="A16" s="5"/>
      <c r="B16" s="3"/>
      <c r="C16" s="5"/>
      <c r="D16" s="5"/>
      <c r="E16" s="37" t="s">
        <v>197</v>
      </c>
      <c r="F16" s="34" t="n">
        <v>19.1000000000000014</v>
      </c>
      <c r="G16" s="34"/>
      <c r="H16" s="5"/>
      <c r="I16" s="4"/>
    </row>
    <row r="17" spans="1:9">
      <c r="A17" s="5"/>
      <c r="B17" s="3"/>
      <c r="C17" s="5"/>
      <c r="D17" s="5"/>
      <c r="E17" s="37" t="s">
        <v>198</v>
      </c>
      <c r="F17" s="34" t="n">
        <v>80</v>
      </c>
      <c r="G17" s="34"/>
      <c r="H17" s="5"/>
      <c r="I17" s="4"/>
    </row>
    <row r="18" spans="1:9">
      <c r="A18" s="5"/>
      <c r="B18" s="3"/>
      <c r="C18" s="5"/>
      <c r="D18" s="5"/>
      <c r="E18" s="38"/>
      <c r="F18" s="34"/>
      <c r="G18" s="34">
        <f>-SUM(F14:F17)</f>
        <v>-590.200000000000045</v>
      </c>
      <c r="H18" s="5"/>
      <c r="I18" s="4"/>
    </row>
    <row r="19" spans="1:9">
      <c r="A19" s="5"/>
      <c r="B19" s="3"/>
      <c r="C19" s="5"/>
      <c r="D19" s="5"/>
      <c r="E19" s="37"/>
      <c r="F19" s="34"/>
      <c r="G19" s="34"/>
      <c r="H19" s="5"/>
      <c r="I19" s="4"/>
    </row>
    <row r="20" spans="1:9">
      <c r="A20" s="5"/>
      <c r="B20" s="3"/>
      <c r="C20" s="5"/>
      <c r="D20" s="5"/>
      <c r="E20" s="5"/>
      <c r="F20" s="34"/>
      <c r="G20" s="34"/>
      <c r="H20" s="5"/>
      <c r="I20" s="4"/>
    </row>
    <row r="21" spans="1:9">
      <c r="A21" s="5"/>
      <c r="B21" s="3"/>
      <c r="C21" s="5"/>
      <c r="D21" s="5"/>
      <c r="E21" s="5" t="s">
        <v>199</v>
      </c>
      <c r="F21" s="34"/>
      <c r="G21" s="34">
        <f>SUM(G6:G20)</f>
        <v>14881.1599999999999</v>
      </c>
      <c r="H21" s="5"/>
      <c r="I21" s="4"/>
    </row>
    <row r="22" spans="1:9">
      <c r="A22" s="5"/>
      <c r="B22" s="3"/>
      <c r="C22" s="5"/>
      <c r="D22" s="5"/>
      <c r="E22" s="5"/>
      <c r="F22" s="34"/>
      <c r="G22" s="34"/>
      <c r="H22" s="5"/>
      <c r="I22" s="4"/>
    </row>
    <row r="23" spans="1:9">
      <c r="A23" s="5"/>
      <c r="B23" s="3"/>
      <c r="C23" s="5"/>
      <c r="D23" s="5"/>
      <c r="E23" s="38"/>
      <c r="F23" s="34"/>
      <c r="G23" s="34"/>
      <c r="H23" s="5"/>
      <c r="I23" s="4"/>
    </row>
    <row r="24" spans="1:9">
      <c r="A24" s="5"/>
      <c r="B24" s="3"/>
      <c r="C24" s="5"/>
      <c r="D24" s="5"/>
      <c r="E24" s="5"/>
      <c r="F24" s="34"/>
      <c r="G24" s="34"/>
      <c r="H24" s="5"/>
      <c r="I24" s="4"/>
    </row>
    <row r="25" spans="1:9">
      <c r="A25" s="5"/>
      <c r="B25" s="3"/>
      <c r="C25" s="38"/>
      <c r="D25" s="5"/>
      <c r="E25" s="5" t="s">
        <v>200</v>
      </c>
      <c r="F25" s="34"/>
      <c r="G25" s="34" t="n">
        <v>12425.7399999999998</v>
      </c>
      <c r="H25" s="5"/>
      <c r="I25" s="4"/>
    </row>
    <row r="26" spans="1:9">
      <c r="A26" s="5"/>
      <c r="B26" s="3"/>
      <c r="C26" s="38"/>
      <c r="D26" s="5"/>
      <c r="E26" s="5" t="s">
        <v>189</v>
      </c>
      <c r="F26" s="34"/>
      <c r="G26" s="34"/>
      <c r="H26" s="5"/>
      <c r="I26" s="4"/>
    </row>
    <row r="27" spans="1:9">
      <c r="A27" s="5"/>
      <c r="B27" s="3"/>
      <c r="C27" s="38"/>
      <c r="D27" s="5"/>
      <c r="E27" s="36" t="s">
        <v>201</v>
      </c>
      <c r="F27" s="34" t="n">
        <v>255.840000000000003</v>
      </c>
      <c r="G27" s="34"/>
      <c r="H27" s="5"/>
      <c r="I27" s="4"/>
    </row>
    <row r="28" spans="1:8">
      <c r="A28" s="55"/>
      <c r="B28" s="56"/>
      <c r="C28" s="57"/>
      <c r="D28" s="55"/>
      <c r="E28" s="58" t="s">
        <v>202</v>
      </c>
      <c r="F28" s="59" t="n">
        <v>175.599999999999994</v>
      </c>
      <c r="G28" s="59"/>
      <c r="H28" s="55"/>
    </row>
    <row r="29" spans="1:8">
      <c r="A29" s="55"/>
      <c r="B29" s="56"/>
      <c r="C29" s="57"/>
      <c r="D29" s="55"/>
      <c r="E29" s="58" t="s">
        <v>35</v>
      </c>
      <c r="F29" s="59" t="n">
        <v>22.5</v>
      </c>
      <c r="G29" s="59"/>
      <c r="H29" s="55"/>
    </row>
    <row r="30" spans="1:8">
      <c r="A30" s="55"/>
      <c r="B30" s="56"/>
      <c r="C30" s="57"/>
      <c r="D30" s="55"/>
      <c r="E30" s="58" t="s">
        <v>35</v>
      </c>
      <c r="F30" s="59" t="n">
        <v>186.620000000000005</v>
      </c>
      <c r="G30" s="59"/>
      <c r="H30" s="55"/>
    </row>
    <row r="31" spans="1:8">
      <c r="A31" s="55"/>
      <c r="B31" s="56"/>
      <c r="C31" s="57"/>
      <c r="D31" s="55"/>
      <c r="E31" s="58" t="s">
        <v>203</v>
      </c>
      <c r="F31" s="59" t="n">
        <v>30</v>
      </c>
      <c r="G31" s="59"/>
      <c r="H31" s="55"/>
    </row>
    <row r="32" spans="1:8">
      <c r="A32" s="55"/>
      <c r="B32" s="56"/>
      <c r="C32" s="57"/>
      <c r="D32" s="55"/>
      <c r="E32" s="58" t="s">
        <v>204</v>
      </c>
      <c r="F32" s="59" t="n">
        <v>112.200000000000003</v>
      </c>
      <c r="G32" s="59"/>
      <c r="H32" s="55"/>
    </row>
    <row r="33" spans="1:9">
      <c r="A33" s="5"/>
      <c r="B33" s="3"/>
      <c r="C33" s="5"/>
      <c r="D33" s="5"/>
      <c r="E33" s="5"/>
      <c r="F33" s="34"/>
      <c r="G33" s="34">
        <f>SUM(F27:F32)</f>
        <v>782.759999999999991</v>
      </c>
      <c r="H33" s="5"/>
      <c r="I33" s="4"/>
    </row>
    <row r="34" spans="1:9">
      <c r="A34" s="5"/>
      <c r="B34" s="3"/>
      <c r="C34" s="5"/>
      <c r="D34" s="5"/>
      <c r="E34" s="5" t="s">
        <v>194</v>
      </c>
      <c r="F34" s="34"/>
      <c r="G34" s="34"/>
      <c r="H34" s="5"/>
      <c r="I34" s="4"/>
    </row>
    <row r="35" spans="1:9">
      <c r="A35" s="5"/>
      <c r="B35" s="3"/>
      <c r="C35" s="5"/>
      <c r="D35" s="5"/>
      <c r="E35" s="37" t="s">
        <v>205</v>
      </c>
      <c r="F35" s="34" t="n">
        <v>30</v>
      </c>
      <c r="G35" s="34"/>
      <c r="H35" s="5"/>
      <c r="I35" s="4"/>
    </row>
    <row r="36" spans="1:9">
      <c r="A36" s="5"/>
      <c r="B36" s="3"/>
      <c r="C36" s="5"/>
      <c r="D36" s="5"/>
      <c r="E36" s="37" t="s">
        <v>196</v>
      </c>
      <c r="F36" s="34" t="n">
        <v>127</v>
      </c>
      <c r="G36" s="34"/>
      <c r="H36" s="5"/>
      <c r="I36" s="4"/>
    </row>
    <row r="37" spans="1:9">
      <c r="A37" s="5"/>
      <c r="B37" s="3"/>
      <c r="C37" s="5"/>
      <c r="D37" s="5"/>
      <c r="E37" s="37" t="s">
        <v>206</v>
      </c>
      <c r="F37" s="34" t="n">
        <v>112.200000000000003</v>
      </c>
      <c r="G37" s="34"/>
      <c r="H37" s="5"/>
      <c r="I37" s="4"/>
    </row>
    <row r="38" spans="1:9">
      <c r="A38" s="5"/>
      <c r="B38" s="3"/>
      <c r="C38" s="5"/>
      <c r="D38" s="5"/>
      <c r="E38" s="37" t="s">
        <v>207</v>
      </c>
      <c r="F38" s="34" t="n">
        <v>74</v>
      </c>
      <c r="G38" s="34"/>
      <c r="H38" s="5"/>
      <c r="I38" s="4"/>
    </row>
    <row r="39" spans="1:9">
      <c r="A39" s="5"/>
      <c r="B39" s="3"/>
      <c r="C39" s="5"/>
      <c r="D39" s="5"/>
      <c r="E39" s="37" t="s">
        <v>208</v>
      </c>
      <c r="F39" s="34" t="n">
        <v>68.75</v>
      </c>
      <c r="G39" s="34"/>
      <c r="H39" s="5"/>
      <c r="I39" s="4"/>
    </row>
    <row r="40" spans="1:9">
      <c r="A40" s="5"/>
      <c r="B40" s="3"/>
      <c r="C40" s="5"/>
      <c r="D40" s="5"/>
      <c r="E40" s="38"/>
      <c r="F40" s="34"/>
      <c r="G40" s="34">
        <f>-SUM(F35:F39)</f>
        <v>-411.949999999999989</v>
      </c>
      <c r="H40" s="5"/>
      <c r="I40" s="4"/>
    </row>
    <row r="41" spans="1:9">
      <c r="A41" s="5"/>
      <c r="B41" s="3"/>
      <c r="C41" s="5"/>
      <c r="D41" s="5"/>
      <c r="E41" s="38"/>
      <c r="F41" s="34"/>
      <c r="G41" s="34"/>
      <c r="H41" s="5"/>
      <c r="I41" s="4"/>
    </row>
    <row r="42" spans="1:9">
      <c r="A42" s="5"/>
      <c r="B42" s="3"/>
      <c r="C42" s="5"/>
      <c r="D42" s="5"/>
      <c r="E42" s="5" t="s">
        <v>209</v>
      </c>
      <c r="F42" s="34"/>
      <c r="G42" s="34">
        <f>SUM(G25:G40)</f>
        <v>12796.5499999999993</v>
      </c>
      <c r="H42" s="5"/>
      <c r="I42" s="4"/>
    </row>
    <row r="43" spans="1:9">
      <c r="A43" s="5"/>
      <c r="B43" s="3"/>
      <c r="C43" s="5"/>
      <c r="D43" s="5"/>
      <c r="E43" s="5"/>
      <c r="F43" s="34"/>
      <c r="G43" s="34"/>
      <c r="H43" s="5"/>
      <c r="I43" s="4"/>
    </row>
    <row r="44" spans="1:9">
      <c r="A44" s="5"/>
      <c r="B44" s="3"/>
      <c r="C44" s="5"/>
      <c r="D44" s="5"/>
      <c r="E44" s="39" t="s">
        <v>210</v>
      </c>
      <c r="F44" s="34"/>
      <c r="G44" s="34"/>
      <c r="H44" s="5"/>
      <c r="I44" s="4"/>
    </row>
    <row r="45" spans="1:9">
      <c r="A45" s="5"/>
      <c r="B45" s="3"/>
      <c r="C45" s="5"/>
      <c r="D45" s="5"/>
      <c r="E45" s="5" t="s">
        <v>211</v>
      </c>
      <c r="F45" s="34"/>
      <c r="G45" s="34">
        <f>'Deposit Account'!B24</f>
        <v>38785.5299999999988</v>
      </c>
      <c r="H45" s="5"/>
      <c r="I45" s="4"/>
    </row>
    <row r="46" spans="1:9">
      <c r="A46" s="5"/>
      <c r="B46" s="3"/>
      <c r="C46" s="5"/>
      <c r="D46" s="5"/>
      <c r="E46" s="5" t="s">
        <v>77</v>
      </c>
      <c r="F46" s="34"/>
      <c r="G46" s="34"/>
      <c r="H46" s="5"/>
      <c r="I46" s="4"/>
    </row>
    <row r="47" spans="1:9">
      <c r="A47" s="5"/>
      <c r="B47" s="3"/>
      <c r="C47" s="5"/>
      <c r="D47" s="5"/>
      <c r="E47" s="5"/>
      <c r="F47" s="34" t="n">
        <v>33.7899999999999991</v>
      </c>
      <c r="G47" s="34"/>
      <c r="H47" s="5"/>
      <c r="I47" s="4"/>
    </row>
    <row r="48" spans="1:9">
      <c r="A48" s="5"/>
      <c r="B48" s="3"/>
      <c r="C48" s="5"/>
      <c r="D48" s="5"/>
      <c r="E48" s="5"/>
      <c r="F48" s="34" t="n">
        <v>77.3199999999999932</v>
      </c>
      <c r="G48" s="34"/>
      <c r="H48" s="5"/>
      <c r="I48" s="4"/>
    </row>
    <row r="49" spans="1:9">
      <c r="A49" s="5"/>
      <c r="B49" s="3"/>
      <c r="C49" s="34"/>
      <c r="D49" s="34"/>
      <c r="E49" s="34"/>
      <c r="F49" s="34" t="n">
        <v>155.830000000000013</v>
      </c>
      <c r="G49" s="34"/>
      <c r="H49" s="5"/>
      <c r="I49" s="4"/>
    </row>
    <row r="50" spans="1:9">
      <c r="A50" s="5"/>
      <c r="B50" s="3"/>
      <c r="C50" s="5"/>
      <c r="D50" s="5"/>
      <c r="E50" s="36"/>
      <c r="F50" s="34" t="n">
        <v>516.440000000000055</v>
      </c>
      <c r="G50" s="34"/>
      <c r="H50" s="5"/>
      <c r="I50" s="4"/>
    </row>
    <row r="51" spans="1:9">
      <c r="A51" s="5"/>
      <c r="B51" s="3"/>
      <c r="C51" s="5"/>
      <c r="D51" s="5"/>
      <c r="E51" s="36" t="s">
        <v>212</v>
      </c>
      <c r="F51" s="34"/>
      <c r="G51" s="34">
        <f>SUM(F47:F50)</f>
        <v>783.380000000000109</v>
      </c>
      <c r="H51" s="5"/>
      <c r="I51" s="4"/>
    </row>
    <row r="52" spans="1:9">
      <c r="A52" s="5"/>
      <c r="B52" s="3"/>
      <c r="C52" s="5"/>
      <c r="D52" s="5"/>
      <c r="E52" s="5" t="s">
        <v>213</v>
      </c>
      <c r="F52" s="34"/>
      <c r="G52" s="34" t="n">
        <v>40000</v>
      </c>
      <c r="H52" s="5"/>
      <c r="I52" s="4"/>
    </row>
    <row r="53" spans="1:9">
      <c r="A53" s="5"/>
      <c r="B53" s="3"/>
      <c r="C53" s="5"/>
      <c r="D53" s="5"/>
      <c r="E53" s="5" t="s">
        <v>214</v>
      </c>
      <c r="F53" s="34"/>
      <c r="G53" s="34">
        <f>SUM(G45:G52)</f>
        <v>79568.9100000000035</v>
      </c>
      <c r="H53" s="5"/>
      <c r="I53" s="4"/>
    </row>
    <row r="54" spans="1:9">
      <c r="A54" s="5"/>
      <c r="B54" s="3"/>
      <c r="C54" s="5"/>
      <c r="D54" s="5"/>
      <c r="E54" s="5"/>
      <c r="F54" s="34"/>
      <c r="G54" s="34"/>
      <c r="H54" s="5"/>
      <c r="I54" s="4"/>
    </row>
    <row r="55" spans="1:9">
      <c r="A55" s="5"/>
      <c r="B55" s="3"/>
      <c r="C55" s="5"/>
      <c r="D55" s="5"/>
      <c r="E55" s="5"/>
      <c r="F55" s="34"/>
      <c r="G55" s="34"/>
      <c r="H55" s="5"/>
      <c r="I55" s="4"/>
    </row>
    <row r="56" spans="1:9">
      <c r="A56" s="5"/>
      <c r="B56" s="3"/>
      <c r="C56" s="5" t="s">
        <v>215</v>
      </c>
      <c r="D56" s="5"/>
      <c r="E56" s="5"/>
      <c r="F56" s="34"/>
      <c r="G56" s="34"/>
      <c r="H56" s="5"/>
      <c r="I56" s="4"/>
    </row>
    <row r="57" spans="1:9">
      <c r="A57" s="5"/>
      <c r="B57" s="3"/>
      <c r="C57" s="34">
        <f>G51+G57</f>
        <v>64512.0799999999945</v>
      </c>
      <c r="D57" s="5"/>
      <c r="E57" s="5" t="s">
        <v>216</v>
      </c>
      <c r="F57" s="34"/>
      <c r="G57" s="34" t="n">
        <v>63728.699999999968</v>
      </c>
      <c r="H57" s="5"/>
      <c r="I57" s="40"/>
    </row>
    <row r="58" spans="1:9">
      <c r="A58" s="5"/>
      <c r="B58" s="3"/>
      <c r="C58" s="5"/>
      <c r="D58" s="5"/>
      <c r="E58" s="5" t="s">
        <v>123</v>
      </c>
      <c r="F58" s="34"/>
      <c r="G58" s="34" t="n">
        <v>25813.3100000000013</v>
      </c>
      <c r="H58" s="5"/>
      <c r="I58" s="40"/>
    </row>
    <row r="59" spans="1:9">
      <c r="A59" s="5"/>
      <c r="B59" s="3"/>
      <c r="C59" s="5"/>
      <c r="D59" s="5"/>
      <c r="E59" s="36" t="s">
        <v>217</v>
      </c>
      <c r="F59" s="34"/>
      <c r="G59" s="34">
        <f>G57-G58</f>
        <v>37915.3899999999994</v>
      </c>
      <c r="H59" s="5"/>
      <c r="I59" s="4"/>
    </row>
    <row r="60" spans="1:9">
      <c r="A60" s="5"/>
      <c r="B60" s="3"/>
      <c r="C60" s="5"/>
      <c r="D60" s="5"/>
      <c r="E60" s="5"/>
      <c r="F60" s="34"/>
      <c r="G60" s="34"/>
      <c r="H60" s="5"/>
      <c r="I60" s="4"/>
    </row>
    <row r="61" spans="1:9">
      <c r="A61" s="5"/>
      <c r="B61" s="3"/>
      <c r="C61" s="5"/>
      <c r="D61" s="5"/>
      <c r="E61" s="5" t="s">
        <v>218</v>
      </c>
      <c r="F61" s="34"/>
      <c r="G61" s="34">
        <f>-G21+G42</f>
        <v>-2084.61000000000058</v>
      </c>
      <c r="H61" s="5"/>
      <c r="I61" s="4"/>
    </row>
    <row r="62" spans="1:9">
      <c r="A62" s="5"/>
      <c r="B62" s="3"/>
      <c r="C62" s="5"/>
      <c r="D62" s="5"/>
      <c r="E62" s="5"/>
      <c r="F62" s="34"/>
      <c r="G62" s="34"/>
      <c r="H62" s="5"/>
      <c r="I62" s="4"/>
    </row>
    <row r="63" spans="1:9">
      <c r="A63" s="5"/>
      <c r="B63" s="3"/>
      <c r="C63" s="5"/>
      <c r="D63" s="5"/>
      <c r="E63" s="5" t="s">
        <v>219</v>
      </c>
      <c r="F63" s="34"/>
      <c r="G63" s="34">
        <f>G61-G59</f>
        <v>-40000</v>
      </c>
      <c r="H63" s="5"/>
      <c r="I63" s="4"/>
    </row>
    <row r="64" spans="1:8">
      <c r="A64" s="7"/>
      <c r="B64" s="7"/>
      <c r="C64" s="7"/>
      <c r="D64" s="7"/>
      <c r="E64" s="7"/>
      <c r="F64" s="7"/>
      <c r="G64" s="7"/>
      <c r="H64" s="7"/>
    </row>
    <row r="67" spans="1:1">
      <c r="A67" s="28" t="s">
        <v>220</v>
      </c>
    </row>
    <row r="69" spans="1:1">
      <c r="A69" t="s">
        <v>221</v>
      </c>
    </row>
    <row r="71" spans="1:5">
      <c r="A71" t="s">
        <v>222</v>
      </c>
      <c r="B71" t="s">
        <v>223</v>
      </c>
      <c r="C71" t="s">
        <v>224</v>
      </c>
      <c r="D71" s="1" t="s">
        <v>8</v>
      </c>
      <c r="E71" s="41" t="s">
        <v>225</v>
      </c>
    </row>
    <row r="72" spans="1:4">
      <c r="A72" t="s">
        <v>226</v>
      </c>
      <c r="B72" s="8"/>
      <c r="D72" s="1"/>
    </row>
    <row r="73" spans="2:4">
      <c r="B73" s="42"/>
      <c r="D73" s="1"/>
    </row>
    <row r="75" spans="1:1">
      <c r="A75" t="s">
        <v>0</v>
      </c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500000" right="0.500000" top="0.500000" bottom="0.500000" header="0.000000" footer="0.000000"/>
  <pageSetup paperSize="9" scale="65" fitToWidth="1" fitToHeight="1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37"/>
  <sheetViews>
    <sheetView view="normal" zoomScale="87" workbookViewId="0">
      <selection activeCell="T24" sqref="T24:T36"/>
    </sheetView>
  </sheetViews>
  <sheetFormatPr baseColWidth="9" defaultColWidth="10.000000" defaultRowHeight="15.80"/>
  <cols>
    <col min="1" max="1" width="21.714286" customWidth="1"/>
    <col min="2" max="2" width="5.045113" customWidth="1"/>
    <col min="3" max="3" width="9.571429" customWidth="1"/>
    <col min="4" max="4" width="4.127820" customWidth="1"/>
    <col min="5" max="5" width="9.571429" customWidth="1"/>
    <col min="6" max="6" width="4.127820" customWidth="1"/>
    <col min="7" max="7" width="7.902256" customWidth="1"/>
    <col min="8" max="8" width="3.609023" customWidth="1"/>
    <col min="9" max="9" width="7.383459" customWidth="1"/>
    <col min="10" max="10" width="4.037594" customWidth="1"/>
    <col min="11" max="11" width="7.669173" customWidth="1"/>
    <col min="12" max="12" width="6.165414" customWidth="1"/>
    <col min="13" max="13" width="2.533835" customWidth="1"/>
    <col min="15" max="15" width="6.240602" customWidth="1"/>
    <col min="18" max="18" width="30.646617" customWidth="1"/>
    <col min="19" max="20" width="9.714286" customWidth="1"/>
    <col min="21" max="21" width="3.609023" customWidth="1"/>
    <col min="22" max="22" width="9.714286" customWidth="1"/>
  </cols>
  <sheetData>
    <row r="1" spans="1:15">
      <c r="A1" s="46"/>
      <c r="B1" s="45"/>
      <c r="C1" s="54" t="s">
        <v>227</v>
      </c>
      <c r="D1" s="45"/>
      <c r="E1" s="54" t="s">
        <v>228</v>
      </c>
      <c r="F1" s="45"/>
      <c r="G1" s="54" t="s">
        <v>229</v>
      </c>
      <c r="H1" s="45"/>
      <c r="I1" s="54" t="s">
        <v>230</v>
      </c>
      <c r="K1" s="54" t="s">
        <v>231</v>
      </c>
      <c r="L1" s="88" t="s">
        <v>232</v>
      </c>
      <c r="M1" s="54"/>
      <c r="N1" s="54" t="s">
        <v>233</v>
      </c>
      <c r="O1" s="88" t="s">
        <v>232</v>
      </c>
    </row>
    <row r="2" spans="1:8">
      <c r="A2" s="19"/>
      <c r="B2" s="45"/>
      <c r="C2" s="45"/>
      <c r="D2" s="45"/>
      <c r="E2" s="45"/>
      <c r="F2" s="45"/>
      <c r="G2" s="45"/>
      <c r="H2" s="45"/>
    </row>
    <row r="3" spans="1:20">
      <c r="A3" s="47" t="s">
        <v>7</v>
      </c>
      <c r="B3" s="19"/>
      <c r="C3" s="48" t="s">
        <v>8</v>
      </c>
      <c r="D3" s="19"/>
      <c r="E3" s="48" t="s">
        <v>8</v>
      </c>
      <c r="F3" s="19"/>
      <c r="G3" s="48" t="s">
        <v>8</v>
      </c>
      <c r="H3" s="19"/>
      <c r="I3" s="48" t="s">
        <v>8</v>
      </c>
      <c r="K3" s="48" t="s">
        <v>8</v>
      </c>
      <c r="N3" s="48" t="s">
        <v>8</v>
      </c>
      <c r="R3" t="s">
        <v>11</v>
      </c>
      <c r="T3" t="n">
        <v>274.300000000000011</v>
      </c>
    </row>
    <row r="4" spans="1:21">
      <c r="A4" s="19" t="s">
        <v>10</v>
      </c>
      <c r="B4" s="19"/>
      <c r="C4" s="52" t="n">
        <v>300</v>
      </c>
      <c r="D4" s="19"/>
      <c r="E4" s="52" t="n">
        <v>300</v>
      </c>
      <c r="F4" s="19"/>
      <c r="G4" s="52" t="n">
        <v>210</v>
      </c>
      <c r="H4" s="19"/>
      <c r="I4" s="52" t="n">
        <v>565</v>
      </c>
      <c r="K4" s="52">
        <f>T12</f>
        <v>75</v>
      </c>
      <c r="L4" s="52">
        <f>ROUND(100*K4/E4,0)</f>
        <v>25</v>
      </c>
      <c r="M4" s="52"/>
      <c r="N4" s="52" t="n">
        <v>120</v>
      </c>
      <c r="O4" s="52" t="n">
        <v>21</v>
      </c>
      <c r="R4" t="s">
        <v>20</v>
      </c>
      <c r="T4" t="n">
        <v>521.269999999999982</v>
      </c>
      <c r="U4" t="s">
        <v>21</v>
      </c>
    </row>
    <row r="5" spans="1:21">
      <c r="A5" s="19" t="s">
        <v>22</v>
      </c>
      <c r="B5" s="19"/>
      <c r="C5" s="52" t="n">
        <v>1700</v>
      </c>
      <c r="D5" s="19"/>
      <c r="E5" s="52" t="n">
        <v>1700</v>
      </c>
      <c r="F5" s="19"/>
      <c r="G5" s="52" t="n">
        <v>1363</v>
      </c>
      <c r="H5" s="19"/>
      <c r="I5" s="52" t="n">
        <v>2481</v>
      </c>
      <c r="K5" s="52">
        <f>T11</f>
        <v>1182.61999999999989</v>
      </c>
      <c r="L5" s="52">
        <f>ROUND(100*K5/E5,0)</f>
        <v>70</v>
      </c>
      <c r="M5" s="52"/>
      <c r="N5" s="52" t="n">
        <v>435.610000000000014</v>
      </c>
      <c r="O5" s="52" t="n">
        <v>21</v>
      </c>
      <c r="R5" t="s">
        <v>23</v>
      </c>
      <c r="T5" t="n">
        <v>290</v>
      </c>
      <c r="U5" t="s">
        <v>21</v>
      </c>
    </row>
    <row r="6" spans="1:21">
      <c r="A6" s="19" t="s">
        <v>26</v>
      </c>
      <c r="B6" s="19"/>
      <c r="C6" s="52" t="n">
        <v>7850</v>
      </c>
      <c r="D6" s="19"/>
      <c r="E6" s="52" t="n">
        <v>7500</v>
      </c>
      <c r="F6" s="19"/>
      <c r="G6" s="52" t="n">
        <v>7811</v>
      </c>
      <c r="H6" s="19"/>
      <c r="I6" s="52" t="n">
        <v>6052</v>
      </c>
      <c r="K6" s="52">
        <f>T17</f>
        <v>5489.15999999999985</v>
      </c>
      <c r="L6" s="52">
        <f>ROUND(100*K6/E6,0)</f>
        <v>73</v>
      </c>
      <c r="M6" s="52"/>
      <c r="N6" s="52" t="n">
        <v>3103.5</v>
      </c>
      <c r="O6" s="52" t="n">
        <v>52</v>
      </c>
      <c r="R6" t="s">
        <v>27</v>
      </c>
      <c r="T6" t="n">
        <v>0</v>
      </c>
      <c r="U6" t="s">
        <v>21</v>
      </c>
    </row>
    <row r="7" spans="1:20">
      <c r="A7" s="19" t="s">
        <v>30</v>
      </c>
      <c r="B7" s="19"/>
      <c r="C7" s="52" t="n">
        <v>1600</v>
      </c>
      <c r="D7" s="19"/>
      <c r="E7" s="52" t="n">
        <v>1600</v>
      </c>
      <c r="F7" s="19"/>
      <c r="G7" s="52" t="n">
        <v>2344</v>
      </c>
      <c r="H7" s="19"/>
      <c r="I7" s="52" t="n">
        <v>352</v>
      </c>
      <c r="K7" s="52">
        <f>T4</f>
        <v>521.269999999999982</v>
      </c>
      <c r="L7" s="52">
        <f>ROUND(100*K7/E7,0)</f>
        <v>33</v>
      </c>
      <c r="M7" s="52"/>
      <c r="N7" s="52" t="n">
        <v>322</v>
      </c>
      <c r="O7" s="52" t="n">
        <v>161</v>
      </c>
      <c r="R7" t="s">
        <v>31</v>
      </c>
      <c r="T7" t="n">
        <v>915.220000000000027</v>
      </c>
    </row>
    <row r="8" spans="1:20">
      <c r="A8" s="19" t="s">
        <v>33</v>
      </c>
      <c r="B8" s="19"/>
      <c r="C8" s="52" t="n">
        <v>300</v>
      </c>
      <c r="D8" s="19"/>
      <c r="E8" s="52" t="n">
        <v>300</v>
      </c>
      <c r="F8" s="19"/>
      <c r="G8" s="52" t="n">
        <v>238</v>
      </c>
      <c r="H8" s="19"/>
      <c r="I8" s="52" t="n">
        <v>110</v>
      </c>
      <c r="K8" s="52">
        <f>T5</f>
        <v>290</v>
      </c>
      <c r="L8" s="52">
        <f>ROUND(100*K8/E8,0)</f>
        <v>97</v>
      </c>
      <c r="M8" s="52"/>
      <c r="N8" s="52" t="n">
        <v>75</v>
      </c>
      <c r="O8" s="52" t="n">
        <v>75</v>
      </c>
      <c r="R8" t="s">
        <v>34</v>
      </c>
      <c r="T8" t="n">
        <v>222.5</v>
      </c>
    </row>
    <row r="9" spans="1:20">
      <c r="A9" s="19" t="s">
        <v>37</v>
      </c>
      <c r="B9" s="19"/>
      <c r="C9" s="52" t="n">
        <v>2860</v>
      </c>
      <c r="D9" s="19"/>
      <c r="E9" s="52" t="n">
        <v>2800</v>
      </c>
      <c r="F9" s="19"/>
      <c r="G9" s="52" t="n">
        <v>2796</v>
      </c>
      <c r="H9" s="19"/>
      <c r="I9" s="52" t="n">
        <v>2416</v>
      </c>
      <c r="K9" s="52">
        <f>T18</f>
        <v>3096.46000000000049</v>
      </c>
      <c r="L9" s="52">
        <f>ROUND(100*K9/E9,0)</f>
        <v>111</v>
      </c>
      <c r="M9" s="52"/>
      <c r="N9" s="52" t="n">
        <v>1569.38999999999965</v>
      </c>
      <c r="O9" s="52" t="n">
        <v>70</v>
      </c>
      <c r="R9" t="s">
        <v>38</v>
      </c>
      <c r="T9" t="n">
        <v>719.819999999999823</v>
      </c>
    </row>
    <row r="10" spans="1:21">
      <c r="A10" s="19" t="s">
        <v>234</v>
      </c>
      <c r="B10" s="24"/>
      <c r="C10" s="52" t="n">
        <v>1300</v>
      </c>
      <c r="D10" s="24"/>
      <c r="E10" s="52" t="n">
        <v>1300</v>
      </c>
      <c r="F10" s="24"/>
      <c r="G10" s="52">
        <f>2663-879</f>
        <v>1784</v>
      </c>
      <c r="H10" s="24"/>
      <c r="I10" s="52">
        <f>2321-990</f>
        <v>1331</v>
      </c>
      <c r="K10" s="64">
        <f>T13-T27</f>
        <v>213</v>
      </c>
      <c r="L10" s="52">
        <f>ROUND(100*K10/E10,0)</f>
        <v>16</v>
      </c>
      <c r="M10" s="52"/>
      <c r="N10" s="52" t="n">
        <v>847</v>
      </c>
      <c r="O10" s="52" t="n">
        <v>47</v>
      </c>
      <c r="R10" t="s">
        <v>41</v>
      </c>
      <c r="T10" t="n">
        <v>78.5300000000000011</v>
      </c>
      <c r="U10" t="s">
        <v>21</v>
      </c>
    </row>
    <row r="11" spans="1:21">
      <c r="A11" s="19" t="s">
        <v>43</v>
      </c>
      <c r="B11" s="19"/>
      <c r="C11" s="52" t="n">
        <v>2830</v>
      </c>
      <c r="D11" s="19"/>
      <c r="E11" s="52" t="n">
        <v>3400</v>
      </c>
      <c r="F11" s="19"/>
      <c r="G11" s="52" t="n">
        <v>3003</v>
      </c>
      <c r="H11" s="19"/>
      <c r="I11" s="52" t="n">
        <v>4454</v>
      </c>
      <c r="K11" s="52">
        <f>T19</f>
        <v>2125.94999999999982</v>
      </c>
      <c r="L11" s="52">
        <f>ROUND(100*K11/E11,0)</f>
        <v>63</v>
      </c>
      <c r="M11" s="52"/>
      <c r="N11" s="52" t="n">
        <v>1990.98000000000002</v>
      </c>
      <c r="O11" s="52" t="n">
        <v>45</v>
      </c>
      <c r="R11" t="s">
        <v>44</v>
      </c>
      <c r="T11" t="n">
        <v>1182.61999999999989</v>
      </c>
      <c r="U11" t="s">
        <v>21</v>
      </c>
    </row>
    <row r="12" spans="1:21">
      <c r="A12" s="19" t="s">
        <v>47</v>
      </c>
      <c r="B12" s="19"/>
      <c r="C12" s="52" t="n">
        <v>5</v>
      </c>
      <c r="D12" s="19"/>
      <c r="E12" s="52" t="n">
        <v>50</v>
      </c>
      <c r="F12" s="19"/>
      <c r="G12" s="52" t="n">
        <v>3</v>
      </c>
      <c r="H12" s="19"/>
      <c r="I12" s="52" t="n">
        <v>48</v>
      </c>
      <c r="K12" s="64" t="n">
        <v>10</v>
      </c>
      <c r="L12" s="52">
        <f>ROUND(100*K12/E12,0)</f>
        <v>20</v>
      </c>
      <c r="M12" s="52"/>
      <c r="N12" s="52" t="n">
        <v>183</v>
      </c>
      <c r="O12" s="52" t="n">
        <v>366</v>
      </c>
      <c r="R12" t="s">
        <v>48</v>
      </c>
      <c r="T12" t="n">
        <v>75</v>
      </c>
      <c r="U12" t="s">
        <v>21</v>
      </c>
    </row>
    <row r="13" spans="1:20">
      <c r="A13" s="19" t="s">
        <v>41</v>
      </c>
      <c r="B13" s="19"/>
      <c r="C13" s="52" t="n">
        <v>100</v>
      </c>
      <c r="D13" s="19"/>
      <c r="E13" s="52" t="n">
        <v>100</v>
      </c>
      <c r="F13" s="19"/>
      <c r="G13" s="52" t="n">
        <v>99</v>
      </c>
      <c r="H13" s="19"/>
      <c r="I13" s="52" t="n">
        <v>160</v>
      </c>
      <c r="K13" s="52">
        <f>T9</f>
        <v>719.819999999999823</v>
      </c>
      <c r="L13" s="52">
        <f>ROUND(100*K13/E13,0)</f>
        <v>720</v>
      </c>
      <c r="M13" s="52"/>
      <c r="N13" s="52" t="n">
        <v>17.6000000000000014</v>
      </c>
      <c r="O13" s="52" t="n">
        <v>12</v>
      </c>
      <c r="R13" t="s">
        <v>51</v>
      </c>
      <c r="T13" t="n">
        <v>251</v>
      </c>
    </row>
    <row r="14" spans="1:20">
      <c r="A14" s="19" t="s">
        <v>27</v>
      </c>
      <c r="B14" s="19"/>
      <c r="C14" s="52" t="n">
        <v>100</v>
      </c>
      <c r="D14" s="19"/>
      <c r="E14" s="52" t="n">
        <v>100</v>
      </c>
      <c r="F14" s="19"/>
      <c r="G14" s="52" t="n">
        <v>0</v>
      </c>
      <c r="H14" s="19"/>
      <c r="I14" s="52" t="n">
        <v>200</v>
      </c>
      <c r="K14" s="52">
        <f>T6</f>
        <v>0</v>
      </c>
      <c r="L14" s="52">
        <f>ROUND(100*K14/E14,0)</f>
        <v>0</v>
      </c>
      <c r="M14" s="52"/>
      <c r="N14" s="52" t="n">
        <v>0</v>
      </c>
      <c r="O14" s="52" t="n">
        <v>0</v>
      </c>
      <c r="R14" t="s">
        <v>53</v>
      </c>
      <c r="T14" t="n">
        <v>675.269999999999982</v>
      </c>
    </row>
    <row r="15" spans="1:20">
      <c r="A15" s="19" t="s">
        <v>235</v>
      </c>
      <c r="B15" s="19"/>
      <c r="C15" s="52" t="n">
        <v>1000</v>
      </c>
      <c r="D15" s="19"/>
      <c r="E15" s="52" t="n">
        <v>130</v>
      </c>
      <c r="F15" s="19"/>
      <c r="G15" s="52" t="n">
        <v>440</v>
      </c>
      <c r="H15" s="19"/>
      <c r="I15" s="52">
        <f>748-179</f>
        <v>569</v>
      </c>
      <c r="K15" s="64" t="n">
        <v>0</v>
      </c>
      <c r="L15" s="52">
        <f>ROUND(100*K15/E15,0)</f>
        <v>0</v>
      </c>
      <c r="M15" s="52"/>
      <c r="N15" s="52" t="n">
        <v>136</v>
      </c>
      <c r="O15" s="52" t="n">
        <v>25</v>
      </c>
      <c r="R15" t="s">
        <v>56</v>
      </c>
      <c r="T15" t="n">
        <v>5440.5</v>
      </c>
    </row>
    <row r="16" spans="1:18">
      <c r="A16" s="19" t="s">
        <v>236</v>
      </c>
      <c r="B16" s="19"/>
      <c r="C16" s="52" t="n">
        <v>400</v>
      </c>
      <c r="D16" s="19"/>
      <c r="E16" s="52" t="n">
        <v>400</v>
      </c>
      <c r="F16" s="19"/>
      <c r="G16" s="52" t="n">
        <v>126</v>
      </c>
      <c r="H16" s="19"/>
      <c r="I16" s="52" t="n">
        <v>179</v>
      </c>
      <c r="K16" s="64">
        <f>K16-K15</f>
        <v>0</v>
      </c>
      <c r="L16" s="52">
        <f>ROUND(100*K16/E16,0)</f>
        <v>0</v>
      </c>
      <c r="M16" s="52"/>
      <c r="N16" s="52" t="n">
        <v>255.669999999999987</v>
      </c>
      <c r="O16" s="52" t="n">
        <v>64</v>
      </c>
      <c r="R16" t="s">
        <v>59</v>
      </c>
    </row>
    <row r="17" spans="1:21">
      <c r="A17" s="25"/>
      <c r="B17" s="24"/>
      <c r="C17" s="24"/>
      <c r="D17" s="24"/>
      <c r="E17" s="52"/>
      <c r="F17" s="24"/>
      <c r="G17" s="52"/>
      <c r="H17" s="24"/>
      <c r="L17" s="52"/>
      <c r="M17" s="52"/>
      <c r="O17" s="52"/>
      <c r="R17" t="s">
        <v>63</v>
      </c>
      <c r="T17" t="n">
        <v>5489.15999999999985</v>
      </c>
      <c r="U17" t="s">
        <v>21</v>
      </c>
    </row>
    <row r="18" spans="1:21">
      <c r="A18" s="19"/>
      <c r="B18" s="49" t="s">
        <v>78</v>
      </c>
      <c r="C18" s="52">
        <f>SUM(C4:C17)</f>
        <v>20345</v>
      </c>
      <c r="D18" s="49"/>
      <c r="E18" s="52">
        <f>SUM(E4:E17)</f>
        <v>19680</v>
      </c>
      <c r="F18" s="49"/>
      <c r="G18" s="52">
        <f>SUM(G4:G17)</f>
        <v>20217</v>
      </c>
      <c r="H18" s="24"/>
      <c r="I18" s="52">
        <f>SUM(I4:I17)</f>
        <v>18917</v>
      </c>
      <c r="K18" s="52">
        <f>SUM(K4:K17)</f>
        <v>13723.2799999999988</v>
      </c>
      <c r="L18" s="52">
        <f>ROUND(100*K18/E18,0)</f>
        <v>70</v>
      </c>
      <c r="M18" s="52"/>
      <c r="N18" s="52" t="n">
        <v>9055.75</v>
      </c>
      <c r="O18" s="52" t="n">
        <v>48</v>
      </c>
      <c r="R18" t="s">
        <v>67</v>
      </c>
      <c r="T18" t="n">
        <v>3096.46000000000049</v>
      </c>
      <c r="U18" t="s">
        <v>21</v>
      </c>
    </row>
    <row r="19" spans="1:20">
      <c r="A19" s="19"/>
      <c r="B19" s="49"/>
      <c r="C19" s="49"/>
      <c r="D19" s="49"/>
      <c r="E19" s="52"/>
      <c r="F19" s="49"/>
      <c r="G19" s="52"/>
      <c r="H19" s="24"/>
      <c r="I19" s="52"/>
      <c r="K19" s="52"/>
      <c r="L19" s="52"/>
      <c r="M19" s="52"/>
      <c r="N19" s="52"/>
      <c r="O19" s="52"/>
      <c r="R19" t="s">
        <v>71</v>
      </c>
      <c r="T19" t="n">
        <v>2125.94999999999982</v>
      </c>
    </row>
    <row r="20" spans="1:20">
      <c r="A20" s="65" t="s">
        <v>237</v>
      </c>
      <c r="B20" s="49"/>
      <c r="C20" s="49"/>
      <c r="D20" s="49"/>
      <c r="E20" s="52"/>
      <c r="F20" s="49"/>
      <c r="G20" s="52"/>
      <c r="H20" s="24"/>
      <c r="I20" s="52"/>
      <c r="K20" s="52"/>
      <c r="L20" s="52"/>
      <c r="M20" s="52"/>
      <c r="N20" s="52"/>
      <c r="O20" s="52"/>
      <c r="R20" t="s">
        <v>74</v>
      </c>
      <c r="T20" t="n">
        <v>30</v>
      </c>
    </row>
    <row r="21" spans="1:8">
      <c r="A21" s="19" t="s">
        <v>238</v>
      </c>
      <c r="B21" s="19"/>
      <c r="C21" s="19"/>
      <c r="D21" s="19"/>
      <c r="E21" s="19"/>
      <c r="F21" s="19"/>
      <c r="G21" s="52"/>
      <c r="H21" s="24"/>
    </row>
    <row r="22" spans="1:20">
      <c r="A22" s="19" t="s">
        <v>239</v>
      </c>
      <c r="B22" s="19"/>
      <c r="C22" s="19"/>
      <c r="D22" s="19"/>
      <c r="E22" s="19"/>
      <c r="F22" s="19"/>
      <c r="G22" s="52"/>
      <c r="H22" s="24"/>
      <c r="T22" t="n">
        <v>21387.5999999999985</v>
      </c>
    </row>
    <row r="23" spans="1:8">
      <c r="A23" s="19"/>
      <c r="B23" s="19"/>
      <c r="C23" s="19"/>
      <c r="D23" s="19"/>
      <c r="E23" s="19"/>
      <c r="F23" s="19"/>
      <c r="G23" s="52"/>
      <c r="H23" s="19"/>
    </row>
    <row r="24" spans="1:20">
      <c r="A24" s="47" t="s">
        <v>87</v>
      </c>
      <c r="B24" s="19"/>
      <c r="C24" s="48" t="s">
        <v>8</v>
      </c>
      <c r="D24" s="19"/>
      <c r="E24" s="48" t="s">
        <v>8</v>
      </c>
      <c r="F24" s="19"/>
      <c r="G24" s="53" t="s">
        <v>8</v>
      </c>
      <c r="H24" s="48"/>
      <c r="I24" s="53" t="s">
        <v>8</v>
      </c>
      <c r="K24" s="48" t="s">
        <v>8</v>
      </c>
      <c r="N24" s="48" t="s">
        <v>8</v>
      </c>
      <c r="R24" t="s">
        <v>11</v>
      </c>
      <c r="T24" t="n">
        <v>240.800000000000011</v>
      </c>
    </row>
    <row r="25" spans="1:22">
      <c r="A25" s="19" t="s">
        <v>88</v>
      </c>
      <c r="B25" s="19"/>
      <c r="C25" s="52" t="n">
        <v>11710</v>
      </c>
      <c r="D25" s="19"/>
      <c r="E25" s="52" t="n">
        <v>11530</v>
      </c>
      <c r="F25" s="19"/>
      <c r="G25" s="52" t="n">
        <v>11532</v>
      </c>
      <c r="H25" s="24"/>
      <c r="I25" s="52" t="n">
        <v>11466</v>
      </c>
      <c r="K25" s="52">
        <f>T26</f>
        <v>8196.79000000000087</v>
      </c>
      <c r="L25" s="52">
        <f>ROUND(100*K25/E25,0)</f>
        <v>71</v>
      </c>
      <c r="M25" s="52"/>
      <c r="N25" s="52" t="n">
        <v>5767.15000000000146</v>
      </c>
      <c r="O25" s="52" t="n">
        <v>49</v>
      </c>
      <c r="R25" t="s">
        <v>98</v>
      </c>
      <c r="T25" t="n">
        <v>50</v>
      </c>
      <c r="V25" t="n">
        <v>37.5</v>
      </c>
    </row>
    <row r="26" spans="1:22">
      <c r="A26" s="19" t="s">
        <v>94</v>
      </c>
      <c r="B26" s="19"/>
      <c r="C26" s="52" t="n">
        <v>4200</v>
      </c>
      <c r="D26" s="19"/>
      <c r="E26" s="52" t="n">
        <v>4150</v>
      </c>
      <c r="F26" s="19"/>
      <c r="G26" s="52" t="n">
        <v>4163</v>
      </c>
      <c r="H26" s="24"/>
      <c r="I26" s="52" t="n">
        <v>4303</v>
      </c>
      <c r="K26" s="52">
        <f>T32</f>
        <v>2801.2800000000002</v>
      </c>
      <c r="L26" s="52">
        <f>ROUND(100*K26/E26,0)</f>
        <v>68</v>
      </c>
      <c r="M26" s="52"/>
      <c r="N26" s="52" t="n">
        <v>2184.42000000000007</v>
      </c>
      <c r="O26" s="52" t="n">
        <v>50</v>
      </c>
      <c r="R26" t="s">
        <v>101</v>
      </c>
      <c r="T26" t="n">
        <v>8196.79000000000087</v>
      </c>
      <c r="V26" t="n">
        <v>5766.30000000000109</v>
      </c>
    </row>
    <row r="27" spans="1:22">
      <c r="A27" s="19" t="s">
        <v>97</v>
      </c>
      <c r="B27" s="19"/>
      <c r="C27" s="52" t="n">
        <v>2000</v>
      </c>
      <c r="D27" s="19"/>
      <c r="E27" s="52" t="n">
        <v>1900</v>
      </c>
      <c r="F27" s="19"/>
      <c r="G27" s="52" t="n">
        <v>2164</v>
      </c>
      <c r="H27" s="24"/>
      <c r="I27" s="52" t="n">
        <v>2139</v>
      </c>
      <c r="K27" s="52">
        <f>T29</f>
        <v>1680.70000000000005</v>
      </c>
      <c r="L27" s="52">
        <f>ROUND(100*K27/E27,0)</f>
        <v>88</v>
      </c>
      <c r="M27" s="52"/>
      <c r="N27" s="52" t="n">
        <v>1454.48000000000002</v>
      </c>
      <c r="O27" s="52" t="n">
        <v>61</v>
      </c>
      <c r="R27" t="s">
        <v>103</v>
      </c>
      <c r="T27" t="n">
        <v>38</v>
      </c>
      <c r="V27" t="n">
        <v>283</v>
      </c>
    </row>
    <row r="28" spans="1:22">
      <c r="A28" s="19" t="s">
        <v>100</v>
      </c>
      <c r="B28" s="19"/>
      <c r="C28" s="52" t="n">
        <v>1750</v>
      </c>
      <c r="D28" s="19"/>
      <c r="E28" s="52" t="n">
        <v>2000</v>
      </c>
      <c r="F28" s="19"/>
      <c r="G28" s="52" t="n">
        <v>1068</v>
      </c>
      <c r="H28" s="24"/>
      <c r="I28" s="52" t="n">
        <v>1192</v>
      </c>
      <c r="K28" s="52">
        <f>T30</f>
        <v>1340.61999999999989</v>
      </c>
      <c r="L28" s="52">
        <f>ROUND(100*K28/E28,0)</f>
        <v>67</v>
      </c>
      <c r="M28" s="52"/>
      <c r="N28" s="52" t="n">
        <v>1652.61999999999966</v>
      </c>
      <c r="O28" s="52" t="n">
        <v>83</v>
      </c>
      <c r="R28" t="s">
        <v>105</v>
      </c>
      <c r="T28" t="n">
        <v>0</v>
      </c>
      <c r="V28" t="n">
        <v>0</v>
      </c>
    </row>
    <row r="29" spans="1:22">
      <c r="A29" s="19" t="s">
        <v>98</v>
      </c>
      <c r="B29" s="19"/>
      <c r="C29" s="52" t="n">
        <v>75</v>
      </c>
      <c r="D29" s="19"/>
      <c r="E29" s="52" t="n">
        <v>75</v>
      </c>
      <c r="F29" s="19"/>
      <c r="G29" s="52" t="n">
        <v>75</v>
      </c>
      <c r="H29" s="24"/>
      <c r="I29" s="60" t="n">
        <v>75</v>
      </c>
      <c r="K29" s="52" t="n">
        <v>37.5</v>
      </c>
      <c r="L29" s="52">
        <f>ROUND(100*K29/E29,0)</f>
        <v>50</v>
      </c>
      <c r="M29" s="52"/>
      <c r="N29" s="52" t="n">
        <v>37.5</v>
      </c>
      <c r="O29" s="52" t="n">
        <v>50</v>
      </c>
      <c r="R29" t="s">
        <v>106</v>
      </c>
      <c r="T29" t="n">
        <v>1680.70000000000005</v>
      </c>
      <c r="V29" t="n">
        <v>1432.49000000000001</v>
      </c>
    </row>
    <row r="30" spans="1:22">
      <c r="A30" s="19" t="s">
        <v>91</v>
      </c>
      <c r="B30" s="19"/>
      <c r="C30" s="52" t="n">
        <v>500</v>
      </c>
      <c r="D30" s="19"/>
      <c r="E30" s="52" t="n">
        <v>500</v>
      </c>
      <c r="F30" s="19"/>
      <c r="G30" s="52" t="n">
        <v>519</v>
      </c>
      <c r="H30" s="24"/>
      <c r="I30" s="52" t="n">
        <v>1102</v>
      </c>
      <c r="K30" s="52">
        <f>T28</f>
        <v>0</v>
      </c>
      <c r="L30" s="52">
        <f>ROUND(100*K30/E30,0)</f>
        <v>0</v>
      </c>
      <c r="M30" s="52"/>
      <c r="N30" s="52" t="n">
        <v>150</v>
      </c>
      <c r="O30" s="52" t="n">
        <v>30</v>
      </c>
      <c r="R30" t="s">
        <v>100</v>
      </c>
      <c r="T30" t="n">
        <v>1340.61999999999989</v>
      </c>
      <c r="V30" t="n">
        <v>677.339999999999918</v>
      </c>
    </row>
    <row r="31" spans="1:22">
      <c r="A31" s="19" t="s">
        <v>240</v>
      </c>
      <c r="B31" s="19"/>
      <c r="C31" s="52" t="n">
        <v>120</v>
      </c>
      <c r="D31" s="19"/>
      <c r="E31" s="52" t="n">
        <v>120</v>
      </c>
      <c r="F31" s="19"/>
      <c r="G31" s="52">
        <f>281+139</f>
        <v>420</v>
      </c>
      <c r="H31" s="24"/>
      <c r="I31" s="52" t="n">
        <v>176</v>
      </c>
      <c r="K31" s="52" t="n">
        <v>38</v>
      </c>
      <c r="L31" s="52">
        <f>ROUND(100*K31/E31,0)</f>
        <v>32</v>
      </c>
      <c r="M31" s="52"/>
      <c r="N31" s="52" t="n">
        <v>38</v>
      </c>
      <c r="O31" s="52" t="n">
        <v>25</v>
      </c>
      <c r="R31" t="s">
        <v>108</v>
      </c>
      <c r="T31" t="n">
        <v>20</v>
      </c>
      <c r="V31" t="n">
        <v>0</v>
      </c>
    </row>
    <row r="32" spans="1:22">
      <c r="A32" s="19"/>
      <c r="B32" s="19"/>
      <c r="C32" s="19"/>
      <c r="D32" s="19"/>
      <c r="E32" s="52"/>
      <c r="F32" s="19"/>
      <c r="G32" s="52"/>
      <c r="H32" s="24"/>
      <c r="I32" s="24"/>
      <c r="K32" s="52"/>
      <c r="L32" s="52"/>
      <c r="M32" s="52"/>
      <c r="N32" s="52"/>
      <c r="O32" s="52"/>
      <c r="R32" t="s">
        <v>94</v>
      </c>
      <c r="T32" t="n">
        <v>2801.2800000000002</v>
      </c>
      <c r="V32" t="n">
        <v>2075.2199999999998</v>
      </c>
    </row>
    <row r="33" spans="1:22">
      <c r="A33" s="19"/>
      <c r="B33" s="25" t="s">
        <v>109</v>
      </c>
      <c r="C33" s="52">
        <f>SUM(C25:C32)</f>
        <v>20355</v>
      </c>
      <c r="D33" s="25"/>
      <c r="E33" s="52" t="n">
        <v>20275</v>
      </c>
      <c r="F33" s="25"/>
      <c r="G33" s="52">
        <f>SUM(G25:G32)</f>
        <v>19941</v>
      </c>
      <c r="H33" s="24"/>
      <c r="I33" s="52">
        <f>SUM(I25:I32)</f>
        <v>20453</v>
      </c>
      <c r="K33" s="52">
        <f>SUM(K25:K32)</f>
        <v>14094.8900000000031</v>
      </c>
      <c r="L33" s="52">
        <f>ROUND(100*K33/E33,0)</f>
        <v>70</v>
      </c>
      <c r="M33" s="52"/>
      <c r="N33" s="52" t="n">
        <v>11284.1700000000001</v>
      </c>
      <c r="O33" s="52" t="n">
        <v>53</v>
      </c>
      <c r="R33" t="s">
        <v>110</v>
      </c>
      <c r="T33" t="n">
        <v>2118.59999999999991</v>
      </c>
      <c r="V33" t="n">
        <v>85161.4400000000023</v>
      </c>
    </row>
    <row r="34" spans="1:15">
      <c r="A34" s="19"/>
      <c r="B34" s="19"/>
      <c r="C34" s="19"/>
      <c r="D34" s="19"/>
      <c r="E34" s="19"/>
      <c r="F34" s="19"/>
      <c r="G34" s="52"/>
      <c r="H34" s="19"/>
      <c r="O34" s="9"/>
    </row>
    <row r="35" spans="1:15">
      <c r="A35" s="19" t="s">
        <v>112</v>
      </c>
      <c r="B35" s="19"/>
      <c r="C35" s="52">
        <f>C18-C33</f>
        <v>-10</v>
      </c>
      <c r="D35" s="19"/>
      <c r="E35" s="52">
        <f>E18-E33</f>
        <v>-595</v>
      </c>
      <c r="F35" s="19"/>
      <c r="G35" s="52">
        <f>G18-G33</f>
        <v>276</v>
      </c>
      <c r="H35" s="24"/>
      <c r="I35" s="52">
        <f>I18-I33</f>
        <v>-1536</v>
      </c>
      <c r="K35" s="52">
        <f>K18-K33</f>
        <v>-371.609999999998763</v>
      </c>
      <c r="O35" s="9"/>
    </row>
    <row r="36" spans="15:22">
      <c r="O36" s="9"/>
      <c r="T36" t="n">
        <v>16448.7899999999972</v>
      </c>
      <c r="V36" t="n">
        <v>95538.2899999999499</v>
      </c>
    </row>
    <row r="37" spans="1:1">
      <c r="A37" t="s">
        <v>241</v>
      </c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V36"/>
  <sheetViews>
    <sheetView view="normal" zoomScale="87" workbookViewId="0">
      <selection activeCell="E1" sqref="E1"/>
    </sheetView>
  </sheetViews>
  <sheetFormatPr baseColWidth="9" defaultColWidth="10.000000" defaultRowHeight="15.80"/>
  <cols>
    <col min="1" max="1" width="21.714286" customWidth="1"/>
    <col min="2" max="2" width="5.045113" customWidth="1"/>
    <col min="3" max="3" width="9.571429" customWidth="1"/>
    <col min="4" max="4" width="4.127820" customWidth="1"/>
    <col min="5" max="5" width="9.571429" customWidth="1"/>
    <col min="6" max="6" width="4.127820" customWidth="1"/>
    <col min="7" max="7" width="7.902256" customWidth="1"/>
    <col min="8" max="8" width="3.609023" customWidth="1"/>
    <col min="9" max="9" width="7.383459" customWidth="1"/>
    <col min="10" max="10" width="4.037594" customWidth="1"/>
    <col min="11" max="11" width="7.669173" customWidth="1"/>
    <col min="12" max="12" width="6.165414" customWidth="1"/>
    <col min="13" max="13" width="2.533835" customWidth="1"/>
    <col min="15" max="15" width="6.240602" customWidth="1"/>
    <col min="18" max="18" width="30.646617" customWidth="1"/>
    <col min="19" max="20" width="9.714286" customWidth="1"/>
    <col min="21" max="21" width="3.609023" customWidth="1"/>
    <col min="22" max="22" width="9.714286" customWidth="1"/>
  </cols>
  <sheetData>
    <row r="1" spans="1:15">
      <c r="A1" s="46"/>
      <c r="B1" s="45"/>
      <c r="C1" s="54" t="s">
        <v>228</v>
      </c>
      <c r="D1" s="45"/>
      <c r="E1" s="54" t="s">
        <v>228</v>
      </c>
      <c r="F1" s="45"/>
      <c r="G1" s="54" t="s">
        <v>242</v>
      </c>
      <c r="H1" s="45"/>
      <c r="I1" s="54" t="s">
        <v>230</v>
      </c>
      <c r="K1" s="54" t="s">
        <v>231</v>
      </c>
      <c r="L1" s="88" t="s">
        <v>232</v>
      </c>
      <c r="M1" s="54"/>
      <c r="N1" s="54" t="s">
        <v>233</v>
      </c>
      <c r="O1" s="88" t="s">
        <v>232</v>
      </c>
    </row>
    <row r="2" spans="1:8">
      <c r="A2" s="19"/>
      <c r="B2" s="45"/>
      <c r="C2" s="45"/>
      <c r="D2" s="45"/>
      <c r="E2" s="45"/>
      <c r="F2" s="45"/>
      <c r="G2" s="45"/>
      <c r="H2" s="45"/>
    </row>
    <row r="3" spans="1:20">
      <c r="A3" s="47" t="s">
        <v>7</v>
      </c>
      <c r="B3" s="19"/>
      <c r="C3" s="48" t="s">
        <v>8</v>
      </c>
      <c r="D3" s="19"/>
      <c r="E3" s="48" t="s">
        <v>8</v>
      </c>
      <c r="F3" s="19"/>
      <c r="G3" s="48" t="s">
        <v>8</v>
      </c>
      <c r="H3" s="19"/>
      <c r="I3" s="48" t="s">
        <v>8</v>
      </c>
      <c r="K3" s="48" t="s">
        <v>8</v>
      </c>
      <c r="N3" s="48" t="s">
        <v>8</v>
      </c>
      <c r="R3" t="s">
        <v>11</v>
      </c>
      <c r="T3" t="n">
        <v>306.639999999999986</v>
      </c>
    </row>
    <row r="4" spans="1:21">
      <c r="A4" s="19" t="s">
        <v>10</v>
      </c>
      <c r="B4" s="19"/>
      <c r="C4" s="19" t="n">
        <v>300</v>
      </c>
      <c r="D4" s="19"/>
      <c r="E4" s="52" t="n">
        <v>300</v>
      </c>
      <c r="F4" s="19"/>
      <c r="G4" s="52" t="n">
        <v>160</v>
      </c>
      <c r="H4" s="19"/>
      <c r="I4" s="52" t="n">
        <v>565</v>
      </c>
      <c r="K4" s="52">
        <f>T11</f>
        <v>50</v>
      </c>
      <c r="L4" s="52">
        <f>ROUND(100*K4/E4,0)</f>
        <v>17</v>
      </c>
      <c r="M4" s="52"/>
      <c r="N4" s="52" t="n">
        <v>120</v>
      </c>
      <c r="O4" s="52" t="n">
        <v>21</v>
      </c>
      <c r="R4" t="s">
        <v>20</v>
      </c>
      <c r="T4" t="n">
        <v>1417</v>
      </c>
      <c r="U4" t="s">
        <v>21</v>
      </c>
    </row>
    <row r="5" spans="1:21">
      <c r="A5" s="19" t="s">
        <v>22</v>
      </c>
      <c r="B5" s="19"/>
      <c r="C5" s="19" t="n">
        <v>1700</v>
      </c>
      <c r="D5" s="19"/>
      <c r="E5" s="52" t="n">
        <v>1700</v>
      </c>
      <c r="F5" s="19"/>
      <c r="G5" s="52" t="n">
        <v>990</v>
      </c>
      <c r="H5" s="19"/>
      <c r="I5" s="52" t="n">
        <v>2481</v>
      </c>
      <c r="K5" s="52">
        <f>T10</f>
        <v>387.45999999999998</v>
      </c>
      <c r="L5" s="52">
        <f>ROUND(100*K5/E5,0)</f>
        <v>23</v>
      </c>
      <c r="M5" s="52"/>
      <c r="N5" s="52" t="n">
        <v>435.610000000000014</v>
      </c>
      <c r="O5" s="52" t="n">
        <v>21</v>
      </c>
      <c r="R5" t="s">
        <v>23</v>
      </c>
      <c r="T5" t="n">
        <v>206.289999999999992</v>
      </c>
      <c r="U5" t="s">
        <v>21</v>
      </c>
    </row>
    <row r="6" spans="1:21">
      <c r="A6" s="19" t="s">
        <v>26</v>
      </c>
      <c r="B6" s="19"/>
      <c r="C6" s="19" t="n">
        <v>7500</v>
      </c>
      <c r="D6" s="19"/>
      <c r="E6" s="52" t="n">
        <v>7500</v>
      </c>
      <c r="F6" s="19"/>
      <c r="G6" s="52" t="n">
        <v>6550</v>
      </c>
      <c r="H6" s="19"/>
      <c r="I6" s="52" t="n">
        <v>6052</v>
      </c>
      <c r="K6" s="52">
        <f>T16</f>
        <v>3790.09999999999991</v>
      </c>
      <c r="L6" s="52">
        <f>ROUND(100*K6/E6,0)</f>
        <v>51</v>
      </c>
      <c r="M6" s="52"/>
      <c r="N6" s="52" t="n">
        <v>3103.5</v>
      </c>
      <c r="O6" s="52" t="n">
        <v>52</v>
      </c>
      <c r="R6" t="s">
        <v>27</v>
      </c>
      <c r="T6" t="n">
        <v>0</v>
      </c>
      <c r="U6" t="s">
        <v>21</v>
      </c>
    </row>
    <row r="7" spans="1:20">
      <c r="A7" s="19" t="s">
        <v>30</v>
      </c>
      <c r="B7" s="19"/>
      <c r="C7" s="19" t="n">
        <v>1600</v>
      </c>
      <c r="D7" s="19"/>
      <c r="E7" s="52" t="n">
        <v>1600</v>
      </c>
      <c r="F7" s="19"/>
      <c r="G7" s="52" t="n">
        <v>420</v>
      </c>
      <c r="H7" s="19"/>
      <c r="I7" s="52" t="n">
        <v>352</v>
      </c>
      <c r="K7" s="52">
        <f>T4</f>
        <v>1417</v>
      </c>
      <c r="L7" s="52">
        <f>ROUND(100*K7/E7,0)</f>
        <v>89</v>
      </c>
      <c r="M7" s="52"/>
      <c r="N7" s="52" t="n">
        <v>322</v>
      </c>
      <c r="O7" s="52" t="n">
        <v>161</v>
      </c>
      <c r="R7" t="s">
        <v>34</v>
      </c>
      <c r="T7" t="n">
        <v>0</v>
      </c>
    </row>
    <row r="8" spans="1:20">
      <c r="A8" s="19" t="s">
        <v>33</v>
      </c>
      <c r="B8" s="19"/>
      <c r="C8" s="19" t="n">
        <v>300</v>
      </c>
      <c r="D8" s="19"/>
      <c r="E8" s="52" t="n">
        <v>300</v>
      </c>
      <c r="F8" s="19"/>
      <c r="G8" s="52" t="n">
        <v>75</v>
      </c>
      <c r="H8" s="19"/>
      <c r="I8" s="52" t="n">
        <v>110</v>
      </c>
      <c r="K8" s="52">
        <f>T5</f>
        <v>206.289999999999992</v>
      </c>
      <c r="L8" s="52">
        <f>ROUND(100*K8/E8,0)</f>
        <v>69</v>
      </c>
      <c r="M8" s="52"/>
      <c r="N8" s="52" t="n">
        <v>75</v>
      </c>
      <c r="O8" s="52" t="n">
        <v>75</v>
      </c>
      <c r="R8" t="s">
        <v>38</v>
      </c>
      <c r="T8" t="n">
        <v>0</v>
      </c>
    </row>
    <row r="9" spans="1:21">
      <c r="A9" s="19" t="s">
        <v>37</v>
      </c>
      <c r="B9" s="19"/>
      <c r="C9" s="19" t="n">
        <v>2800</v>
      </c>
      <c r="D9" s="19"/>
      <c r="E9" s="52" t="n">
        <v>2800</v>
      </c>
      <c r="F9" s="19"/>
      <c r="G9" s="52" t="n">
        <v>2470</v>
      </c>
      <c r="H9" s="19"/>
      <c r="I9" s="52" t="n">
        <v>2416</v>
      </c>
      <c r="K9" s="52">
        <f>T17</f>
        <v>1427.38999999999987</v>
      </c>
      <c r="L9" s="52">
        <f>ROUND(100*K9/E9,0)</f>
        <v>51</v>
      </c>
      <c r="M9" s="52"/>
      <c r="N9" s="52" t="n">
        <v>1569.38999999999965</v>
      </c>
      <c r="O9" s="52" t="n">
        <v>70</v>
      </c>
      <c r="R9" t="s">
        <v>41</v>
      </c>
      <c r="T9" t="n">
        <v>0</v>
      </c>
      <c r="U9" t="s">
        <v>21</v>
      </c>
    </row>
    <row r="10" spans="1:21">
      <c r="A10" s="19" t="s">
        <v>234</v>
      </c>
      <c r="B10" s="24"/>
      <c r="C10" s="19" t="n">
        <v>1300</v>
      </c>
      <c r="D10" s="24"/>
      <c r="E10" s="52" t="n">
        <v>1300</v>
      </c>
      <c r="F10" s="24"/>
      <c r="G10" s="52" t="n">
        <v>1200</v>
      </c>
      <c r="H10" s="24"/>
      <c r="I10" s="52">
        <f>2321-990</f>
        <v>1331</v>
      </c>
      <c r="K10" s="64">
        <f>T12-T27</f>
        <v>762</v>
      </c>
      <c r="L10" s="52">
        <f>ROUND(100*K10/E10,0)</f>
        <v>59</v>
      </c>
      <c r="M10" s="52"/>
      <c r="N10" s="52" t="n">
        <v>847</v>
      </c>
      <c r="O10" s="52" t="n">
        <v>47</v>
      </c>
      <c r="R10" t="s">
        <v>44</v>
      </c>
      <c r="T10" t="n">
        <v>387.45999999999998</v>
      </c>
      <c r="U10" t="s">
        <v>21</v>
      </c>
    </row>
    <row r="11" spans="1:21">
      <c r="A11" s="19" t="s">
        <v>43</v>
      </c>
      <c r="B11" s="19"/>
      <c r="C11" s="19" t="n">
        <v>3400</v>
      </c>
      <c r="D11" s="19"/>
      <c r="E11" s="52" t="n">
        <v>3400</v>
      </c>
      <c r="F11" s="19"/>
      <c r="G11" s="52" t="n">
        <v>3745</v>
      </c>
      <c r="H11" s="19"/>
      <c r="I11" s="52" t="n">
        <v>4454</v>
      </c>
      <c r="K11" s="52">
        <f>T18</f>
        <v>1586.02999999999997</v>
      </c>
      <c r="L11" s="52">
        <f>ROUND(100*K11/E11,0)</f>
        <v>47</v>
      </c>
      <c r="M11" s="52"/>
      <c r="N11" s="52" t="n">
        <v>1990.98000000000002</v>
      </c>
      <c r="O11" s="52" t="n">
        <v>45</v>
      </c>
      <c r="R11" t="s">
        <v>48</v>
      </c>
      <c r="T11" t="n">
        <v>50</v>
      </c>
      <c r="U11" t="s">
        <v>21</v>
      </c>
    </row>
    <row r="12" spans="1:20">
      <c r="A12" s="19" t="s">
        <v>47</v>
      </c>
      <c r="B12" s="19"/>
      <c r="C12" s="19" t="n">
        <v>50</v>
      </c>
      <c r="D12" s="19"/>
      <c r="E12" s="52" t="n">
        <v>50</v>
      </c>
      <c r="F12" s="19"/>
      <c r="G12" s="52" t="n">
        <v>25</v>
      </c>
      <c r="H12" s="19"/>
      <c r="I12" s="52" t="n">
        <v>48</v>
      </c>
      <c r="K12" s="64" t="n">
        <v>10</v>
      </c>
      <c r="L12" s="52">
        <f>ROUND(100*K12/E12,0)</f>
        <v>20</v>
      </c>
      <c r="M12" s="52"/>
      <c r="N12" s="52" t="n">
        <v>183</v>
      </c>
      <c r="O12" s="52" t="n">
        <v>366</v>
      </c>
      <c r="R12" t="s">
        <v>51</v>
      </c>
      <c r="T12" t="n">
        <v>1045</v>
      </c>
    </row>
    <row r="13" spans="1:20">
      <c r="A13" s="19" t="s">
        <v>41</v>
      </c>
      <c r="B13" s="19"/>
      <c r="C13" s="19" t="n">
        <v>100</v>
      </c>
      <c r="D13" s="19"/>
      <c r="E13" s="52" t="n">
        <v>100</v>
      </c>
      <c r="F13" s="19"/>
      <c r="G13" s="52" t="n">
        <v>35</v>
      </c>
      <c r="H13" s="19"/>
      <c r="I13" s="52" t="n">
        <v>160</v>
      </c>
      <c r="K13" s="52">
        <f>T9</f>
        <v>0</v>
      </c>
      <c r="L13" s="52">
        <f>ROUND(100*K13/E13,0)</f>
        <v>0</v>
      </c>
      <c r="M13" s="52"/>
      <c r="N13" s="52" t="n">
        <v>17.6000000000000014</v>
      </c>
      <c r="O13" s="52" t="n">
        <v>12</v>
      </c>
      <c r="R13" t="s">
        <v>53</v>
      </c>
      <c r="T13" t="n">
        <v>98067.7600000000093</v>
      </c>
    </row>
    <row r="14" spans="1:20">
      <c r="A14" s="19" t="s">
        <v>27</v>
      </c>
      <c r="B14" s="19"/>
      <c r="C14" s="19" t="n">
        <v>100</v>
      </c>
      <c r="D14" s="19"/>
      <c r="E14" s="52" t="n">
        <v>100</v>
      </c>
      <c r="F14" s="19"/>
      <c r="G14" s="52" t="n">
        <v>0</v>
      </c>
      <c r="H14" s="19"/>
      <c r="I14" s="52" t="n">
        <v>200</v>
      </c>
      <c r="K14" s="52">
        <f>T6</f>
        <v>0</v>
      </c>
      <c r="L14" s="52">
        <f>ROUND(100*K14/E14,0)</f>
        <v>0</v>
      </c>
      <c r="M14" s="52"/>
      <c r="N14" s="52" t="n">
        <v>0</v>
      </c>
      <c r="O14" s="52" t="n">
        <v>0</v>
      </c>
      <c r="R14" t="s">
        <v>56</v>
      </c>
      <c r="T14" t="n">
        <v>610</v>
      </c>
    </row>
    <row r="15" spans="1:18">
      <c r="A15" s="19" t="s">
        <v>243</v>
      </c>
      <c r="B15" s="19"/>
      <c r="C15" s="19" t="n">
        <v>130</v>
      </c>
      <c r="D15" s="19"/>
      <c r="E15" s="52" t="n">
        <v>130</v>
      </c>
      <c r="F15" s="19"/>
      <c r="G15" s="52" t="n">
        <v>140</v>
      </c>
      <c r="H15" s="19"/>
      <c r="I15" s="52">
        <f>748-179</f>
        <v>569</v>
      </c>
      <c r="K15" s="64" t="n">
        <v>0</v>
      </c>
      <c r="L15" s="52">
        <f>ROUND(100*K15/E15,0)</f>
        <v>0</v>
      </c>
      <c r="M15" s="52"/>
      <c r="N15" s="52" t="n">
        <v>136</v>
      </c>
      <c r="O15" s="52" t="n">
        <v>25</v>
      </c>
      <c r="R15" t="s">
        <v>59</v>
      </c>
    </row>
    <row r="16" spans="1:21">
      <c r="A16" s="19" t="s">
        <v>236</v>
      </c>
      <c r="B16" s="19"/>
      <c r="C16" s="19" t="n">
        <v>400</v>
      </c>
      <c r="D16" s="19"/>
      <c r="E16" s="52" t="n">
        <v>400</v>
      </c>
      <c r="F16" s="19"/>
      <c r="G16" s="52" t="n">
        <v>250</v>
      </c>
      <c r="H16" s="19"/>
      <c r="I16" s="52" t="n">
        <v>179</v>
      </c>
      <c r="K16" s="64">
        <f>K16-K15</f>
        <v>0</v>
      </c>
      <c r="L16" s="52">
        <f>ROUND(100*K16/E16,0)</f>
        <v>0</v>
      </c>
      <c r="M16" s="52"/>
      <c r="N16" s="52" t="n">
        <v>255.669999999999987</v>
      </c>
      <c r="O16" s="52" t="n">
        <v>64</v>
      </c>
      <c r="R16" t="s">
        <v>63</v>
      </c>
      <c r="T16" t="n">
        <v>3790.09999999999991</v>
      </c>
      <c r="U16" t="s">
        <v>21</v>
      </c>
    </row>
    <row r="17" spans="1:21">
      <c r="A17" s="25"/>
      <c r="B17" s="24"/>
      <c r="C17" s="24"/>
      <c r="D17" s="24"/>
      <c r="E17" s="52"/>
      <c r="F17" s="24"/>
      <c r="G17" s="52"/>
      <c r="H17" s="24"/>
      <c r="L17" s="52"/>
      <c r="M17" s="52"/>
      <c r="O17" s="52"/>
      <c r="R17" t="s">
        <v>67</v>
      </c>
      <c r="T17" t="n">
        <v>1427.38999999999987</v>
      </c>
      <c r="U17" t="s">
        <v>21</v>
      </c>
    </row>
    <row r="18" spans="1:20">
      <c r="A18" s="19"/>
      <c r="B18" s="49" t="s">
        <v>78</v>
      </c>
      <c r="C18" s="52">
        <f>SUM(C4:C17)</f>
        <v>19680</v>
      </c>
      <c r="D18" s="49"/>
      <c r="E18" s="52">
        <f>SUM(E4:E17)</f>
        <v>19680</v>
      </c>
      <c r="F18" s="49"/>
      <c r="G18" s="52">
        <f>SUM(G4:G17)</f>
        <v>16060</v>
      </c>
      <c r="H18" s="24"/>
      <c r="I18" s="52">
        <f>SUM(I4:I17)</f>
        <v>18917</v>
      </c>
      <c r="K18" s="52">
        <f>SUM(K4:K17)</f>
        <v>9636.27000000000044</v>
      </c>
      <c r="L18" s="52">
        <f>ROUND(100*K18/E18,0)</f>
        <v>49</v>
      </c>
      <c r="M18" s="52"/>
      <c r="N18" s="52" t="n">
        <v>9055.75</v>
      </c>
      <c r="O18" s="52" t="n">
        <v>48</v>
      </c>
      <c r="R18" t="s">
        <v>71</v>
      </c>
      <c r="T18" t="n">
        <v>1586.02999999999997</v>
      </c>
    </row>
    <row r="19" spans="1:20">
      <c r="A19" s="19"/>
      <c r="B19" s="49"/>
      <c r="C19" s="49"/>
      <c r="D19" s="49"/>
      <c r="E19" s="52"/>
      <c r="F19" s="49"/>
      <c r="G19" s="52"/>
      <c r="H19" s="24"/>
      <c r="I19" s="52"/>
      <c r="K19" s="52"/>
      <c r="L19" s="52"/>
      <c r="M19" s="52"/>
      <c r="N19" s="52"/>
      <c r="O19" s="52"/>
      <c r="R19" t="s">
        <v>74</v>
      </c>
      <c r="T19" t="n">
        <v>0</v>
      </c>
    </row>
    <row r="20" spans="1:15">
      <c r="A20" s="65" t="s">
        <v>237</v>
      </c>
      <c r="B20" s="49"/>
      <c r="C20" s="49"/>
      <c r="D20" s="49"/>
      <c r="E20" s="52"/>
      <c r="F20" s="49"/>
      <c r="G20" s="52"/>
      <c r="H20" s="24"/>
      <c r="I20" s="52"/>
      <c r="K20" s="52"/>
      <c r="L20" s="52"/>
      <c r="M20" s="52"/>
      <c r="N20" s="52"/>
      <c r="O20" s="52"/>
    </row>
    <row r="21" spans="1:20">
      <c r="A21" s="19" t="s">
        <v>244</v>
      </c>
      <c r="B21" s="19"/>
      <c r="C21" s="19"/>
      <c r="D21" s="19"/>
      <c r="E21" s="19"/>
      <c r="F21" s="19"/>
      <c r="G21" s="52"/>
      <c r="H21" s="24"/>
      <c r="T21" t="n">
        <v>108893.669999999984</v>
      </c>
    </row>
    <row r="22" spans="1:8">
      <c r="A22" s="19" t="s">
        <v>239</v>
      </c>
      <c r="B22" s="19"/>
      <c r="C22" s="19"/>
      <c r="D22" s="19"/>
      <c r="E22" s="19"/>
      <c r="F22" s="19"/>
      <c r="G22" s="52"/>
      <c r="H22" s="24"/>
    </row>
    <row r="23" spans="1:8">
      <c r="A23" s="19"/>
      <c r="B23" s="19"/>
      <c r="C23" s="19"/>
      <c r="D23" s="19"/>
      <c r="E23" s="19"/>
      <c r="F23" s="19"/>
      <c r="G23" s="52"/>
      <c r="H23" s="19"/>
    </row>
    <row r="24" spans="1:22">
      <c r="A24" s="47" t="s">
        <v>87</v>
      </c>
      <c r="B24" s="19"/>
      <c r="C24" s="48" t="s">
        <v>8</v>
      </c>
      <c r="D24" s="19"/>
      <c r="E24" s="48" t="s">
        <v>8</v>
      </c>
      <c r="F24" s="19"/>
      <c r="G24" s="53" t="s">
        <v>8</v>
      </c>
      <c r="H24" s="48"/>
      <c r="I24" s="53" t="s">
        <v>8</v>
      </c>
      <c r="K24" s="48" t="s">
        <v>8</v>
      </c>
      <c r="N24" s="48" t="s">
        <v>8</v>
      </c>
      <c r="R24" t="s">
        <v>11</v>
      </c>
      <c r="T24" t="n">
        <v>105</v>
      </c>
      <c r="V24" t="n">
        <v>105</v>
      </c>
    </row>
    <row r="25" spans="1:22">
      <c r="A25" s="19" t="s">
        <v>88</v>
      </c>
      <c r="B25" s="19"/>
      <c r="C25" s="19">
        <f>3459*10/3</f>
        <v>11530</v>
      </c>
      <c r="D25" s="19"/>
      <c r="E25" s="52" t="n">
        <v>11530</v>
      </c>
      <c r="F25" s="19"/>
      <c r="G25" s="52" t="n">
        <v>11534</v>
      </c>
      <c r="H25" s="24"/>
      <c r="I25" s="52" t="n">
        <v>11466</v>
      </c>
      <c r="K25" s="52">
        <f>T26</f>
        <v>5766.30000000000109</v>
      </c>
      <c r="L25" s="52">
        <f>ROUND(100*K25/E25,0)</f>
        <v>50</v>
      </c>
      <c r="M25" s="52"/>
      <c r="N25" s="52" t="n">
        <v>5767.15000000000146</v>
      </c>
      <c r="O25" s="52" t="n">
        <v>49</v>
      </c>
      <c r="R25" t="s">
        <v>98</v>
      </c>
      <c r="T25" t="n">
        <v>37.5</v>
      </c>
      <c r="V25" t="n">
        <v>37.5</v>
      </c>
    </row>
    <row r="26" spans="1:22">
      <c r="A26" s="19" t="s">
        <v>94</v>
      </c>
      <c r="B26" s="19"/>
      <c r="C26" s="19" t="n">
        <v>4150</v>
      </c>
      <c r="D26" s="19"/>
      <c r="E26" s="52" t="n">
        <v>4150</v>
      </c>
      <c r="F26" s="19"/>
      <c r="G26" s="52" t="n">
        <v>4314</v>
      </c>
      <c r="H26" s="24"/>
      <c r="I26" s="52" t="n">
        <v>4303</v>
      </c>
      <c r="K26" s="52">
        <f>T32</f>
        <v>2075.2199999999998</v>
      </c>
      <c r="L26" s="52">
        <f>ROUND(100*K26/E26,0)</f>
        <v>50</v>
      </c>
      <c r="M26" s="52"/>
      <c r="N26" s="52" t="n">
        <v>2184.42000000000007</v>
      </c>
      <c r="O26" s="52" t="n">
        <v>50</v>
      </c>
      <c r="R26" t="s">
        <v>101</v>
      </c>
      <c r="T26" t="n">
        <v>5766.30000000000109</v>
      </c>
      <c r="V26" t="n">
        <v>5766.30000000000109</v>
      </c>
    </row>
    <row r="27" spans="1:22">
      <c r="A27" s="19" t="s">
        <v>97</v>
      </c>
      <c r="B27" s="19"/>
      <c r="C27" s="19" t="n">
        <v>1900</v>
      </c>
      <c r="D27" s="19"/>
      <c r="E27" s="52" t="n">
        <v>1900</v>
      </c>
      <c r="F27" s="19"/>
      <c r="G27" s="52" t="n">
        <v>1820</v>
      </c>
      <c r="H27" s="24"/>
      <c r="I27" s="52" t="n">
        <v>2139</v>
      </c>
      <c r="K27" s="52">
        <f>T29</f>
        <v>1432.49000000000001</v>
      </c>
      <c r="L27" s="52">
        <f>ROUND(100*K27/E27,0)</f>
        <v>75</v>
      </c>
      <c r="M27" s="52"/>
      <c r="N27" s="52" t="n">
        <v>1454.48000000000002</v>
      </c>
      <c r="O27" s="52" t="n">
        <v>61</v>
      </c>
      <c r="R27" t="s">
        <v>103</v>
      </c>
      <c r="T27" t="n">
        <v>283</v>
      </c>
      <c r="V27" t="n">
        <v>283</v>
      </c>
    </row>
    <row r="28" spans="1:22">
      <c r="A28" s="19" t="s">
        <v>100</v>
      </c>
      <c r="B28" s="19"/>
      <c r="C28" s="19" t="n">
        <v>2000</v>
      </c>
      <c r="D28" s="19"/>
      <c r="E28" s="52" t="n">
        <v>2000</v>
      </c>
      <c r="F28" s="19"/>
      <c r="G28" s="52" t="n">
        <v>2410</v>
      </c>
      <c r="H28" s="24"/>
      <c r="I28" s="52" t="n">
        <v>1192</v>
      </c>
      <c r="K28" s="52">
        <f>T30</f>
        <v>677.339999999999918</v>
      </c>
      <c r="L28" s="52">
        <f>ROUND(100*K28/E28,0)</f>
        <v>34</v>
      </c>
      <c r="M28" s="52"/>
      <c r="N28" s="52" t="n">
        <v>1652.61999999999966</v>
      </c>
      <c r="O28" s="52" t="n">
        <v>83</v>
      </c>
      <c r="R28" t="s">
        <v>105</v>
      </c>
      <c r="T28" t="n">
        <v>0</v>
      </c>
      <c r="V28" t="n">
        <v>0</v>
      </c>
    </row>
    <row r="29" spans="1:22">
      <c r="A29" s="19" t="s">
        <v>98</v>
      </c>
      <c r="B29" s="19"/>
      <c r="C29" s="19" t="n">
        <v>75</v>
      </c>
      <c r="D29" s="19"/>
      <c r="E29" s="52" t="n">
        <v>75</v>
      </c>
      <c r="F29" s="19"/>
      <c r="G29" s="52" t="n">
        <v>75</v>
      </c>
      <c r="H29" s="24"/>
      <c r="I29" s="60" t="n">
        <v>75</v>
      </c>
      <c r="K29" s="52" t="n">
        <v>37.5</v>
      </c>
      <c r="L29" s="52">
        <f>ROUND(100*K29/E29,0)</f>
        <v>50</v>
      </c>
      <c r="M29" s="52"/>
      <c r="N29" s="52" t="n">
        <v>37.5</v>
      </c>
      <c r="O29" s="52" t="n">
        <v>50</v>
      </c>
      <c r="R29" t="s">
        <v>106</v>
      </c>
      <c r="T29" t="n">
        <v>1432.49000000000001</v>
      </c>
      <c r="V29" t="n">
        <v>1432.49000000000001</v>
      </c>
    </row>
    <row r="30" spans="1:22">
      <c r="A30" s="19" t="s">
        <v>91</v>
      </c>
      <c r="B30" s="19"/>
      <c r="C30" s="19" t="n">
        <v>500</v>
      </c>
      <c r="D30" s="19"/>
      <c r="E30" s="52" t="n">
        <v>500</v>
      </c>
      <c r="F30" s="19"/>
      <c r="G30" s="52" t="n">
        <v>650</v>
      </c>
      <c r="H30" s="24"/>
      <c r="I30" s="52" t="n">
        <v>1102</v>
      </c>
      <c r="K30" s="52">
        <f>T28</f>
        <v>0</v>
      </c>
      <c r="L30" s="52">
        <f>ROUND(100*K30/E30,0)</f>
        <v>0</v>
      </c>
      <c r="M30" s="52"/>
      <c r="N30" s="52" t="n">
        <v>150</v>
      </c>
      <c r="O30" s="52" t="n">
        <v>30</v>
      </c>
      <c r="R30" t="s">
        <v>100</v>
      </c>
      <c r="T30" t="n">
        <v>677.339999999999918</v>
      </c>
      <c r="V30" t="n">
        <v>677.339999999999918</v>
      </c>
    </row>
    <row r="31" spans="1:22">
      <c r="A31" s="19" t="s">
        <v>240</v>
      </c>
      <c r="B31" s="19"/>
      <c r="C31" s="19" t="n">
        <v>120</v>
      </c>
      <c r="D31" s="19"/>
      <c r="E31" s="52" t="n">
        <v>120</v>
      </c>
      <c r="F31" s="19"/>
      <c r="G31" s="52" t="n">
        <v>120</v>
      </c>
      <c r="H31" s="24"/>
      <c r="I31" s="52" t="n">
        <v>176</v>
      </c>
      <c r="K31" s="52" t="n">
        <v>38</v>
      </c>
      <c r="L31" s="52">
        <f>ROUND(100*K31/E31,0)</f>
        <v>32</v>
      </c>
      <c r="M31" s="52"/>
      <c r="N31" s="52" t="n">
        <v>38</v>
      </c>
      <c r="O31" s="52" t="n">
        <v>25</v>
      </c>
      <c r="R31" t="s">
        <v>108</v>
      </c>
      <c r="T31" t="n">
        <v>0</v>
      </c>
      <c r="V31" t="n">
        <v>0</v>
      </c>
    </row>
    <row r="32" spans="1:22">
      <c r="A32" s="19"/>
      <c r="B32" s="19"/>
      <c r="C32" s="19"/>
      <c r="D32" s="19"/>
      <c r="E32" s="52"/>
      <c r="F32" s="19"/>
      <c r="G32" s="52"/>
      <c r="H32" s="24"/>
      <c r="I32" s="24"/>
      <c r="K32" s="52"/>
      <c r="L32" s="52"/>
      <c r="M32" s="52"/>
      <c r="N32" s="52"/>
      <c r="O32" s="52"/>
      <c r="R32" t="s">
        <v>94</v>
      </c>
      <c r="T32" t="n">
        <v>2075.2199999999998</v>
      </c>
      <c r="V32" t="n">
        <v>2075.2199999999998</v>
      </c>
    </row>
    <row r="33" spans="1:22">
      <c r="A33" s="19"/>
      <c r="B33" s="25" t="s">
        <v>109</v>
      </c>
      <c r="C33" s="52">
        <f>SUM(C25:C32)</f>
        <v>20275</v>
      </c>
      <c r="D33" s="25"/>
      <c r="E33" s="52" t="n">
        <v>20275</v>
      </c>
      <c r="F33" s="25"/>
      <c r="G33" s="52">
        <f>SUM(G25:G32)</f>
        <v>20923</v>
      </c>
      <c r="H33" s="24"/>
      <c r="I33" s="52">
        <f>SUM(I25:I32)</f>
        <v>20453</v>
      </c>
      <c r="K33" s="52">
        <f>SUM(K25:K32)</f>
        <v>10026.8500000000004</v>
      </c>
      <c r="L33" s="52">
        <f>ROUND(100*K33/E33,0)</f>
        <v>49</v>
      </c>
      <c r="M33" s="52"/>
      <c r="N33" s="52" t="n">
        <v>11284.1700000000001</v>
      </c>
      <c r="O33" s="52" t="n">
        <v>53</v>
      </c>
      <c r="R33" t="s">
        <v>110</v>
      </c>
      <c r="T33" t="n">
        <v>85161.4400000000023</v>
      </c>
      <c r="V33" t="n">
        <v>85161.4400000000023</v>
      </c>
    </row>
    <row r="34" spans="1:15">
      <c r="A34" s="19"/>
      <c r="B34" s="19"/>
      <c r="C34" s="19"/>
      <c r="D34" s="19"/>
      <c r="E34" s="19"/>
      <c r="F34" s="19"/>
      <c r="G34" s="52"/>
      <c r="H34" s="19"/>
      <c r="O34" s="9"/>
    </row>
    <row r="35" spans="1:15">
      <c r="A35" s="19" t="s">
        <v>112</v>
      </c>
      <c r="B35" s="19"/>
      <c r="C35" s="52">
        <f>C18-C33</f>
        <v>-595</v>
      </c>
      <c r="D35" s="19"/>
      <c r="E35" s="52">
        <f>E18-E33</f>
        <v>-595</v>
      </c>
      <c r="F35" s="19"/>
      <c r="G35" s="52">
        <f>G18-G33</f>
        <v>-4863</v>
      </c>
      <c r="H35" s="24"/>
      <c r="I35" s="52">
        <f>I18-I33</f>
        <v>-1536</v>
      </c>
      <c r="K35" s="52">
        <f>K18-K33</f>
        <v>-390.579999999999927</v>
      </c>
      <c r="O35" s="9"/>
    </row>
    <row r="36" spans="15:22">
      <c r="O36" s="9"/>
      <c r="T36" t="n">
        <v>95538.2899999999499</v>
      </c>
      <c r="V36" t="n">
        <v>95538.2899999999499</v>
      </c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40"/>
  <sheetViews>
    <sheetView view="normal" topLeftCell="A7" zoomScale="87" workbookViewId="0">
      <selection activeCell="E16" sqref="E16"/>
    </sheetView>
  </sheetViews>
  <sheetFormatPr baseColWidth="9" defaultColWidth="10.000000" defaultRowHeight="15.80"/>
  <cols>
    <col min="1" max="1" width="21.714286" customWidth="1"/>
    <col min="2" max="2" width="1.932331" customWidth="1"/>
    <col min="3" max="3" width="7.496241" customWidth="1"/>
    <col min="4" max="4" width="2.127820" customWidth="1"/>
    <col min="5" max="5" width="7.669173" customWidth="1"/>
    <col min="6" max="6" width="6.165414" customWidth="1"/>
    <col min="7" max="7" width="2.127820" customWidth="1"/>
    <col min="8" max="8" width="6.977444" customWidth="1"/>
    <col min="9" max="9" width="2.127820" customWidth="1"/>
    <col min="10" max="10" width="7.127820" customWidth="1"/>
    <col min="11" max="11" width="2.127820" customWidth="1"/>
    <col min="12" max="12" width="7.669173" customWidth="1"/>
    <col min="13" max="13" width="6.165414" customWidth="1"/>
    <col min="14" max="14" width="2.127820" customWidth="1"/>
    <col min="15" max="15" width="7.533835" customWidth="1"/>
    <col min="16" max="16" width="6.240602" customWidth="1"/>
    <col min="17" max="17" width="1.421053" customWidth="1"/>
    <col min="18" max="18" width="1.308271" customWidth="1"/>
    <col min="19" max="19" width="20.609023" customWidth="1"/>
    <col min="20" max="20" width="5.864662" customWidth="1"/>
    <col min="21" max="21" width="9.714286" customWidth="1" style="44"/>
    <col min="22" max="22" width="3.609023" customWidth="1"/>
    <col min="23" max="23" width="9.714286" customWidth="1"/>
  </cols>
  <sheetData>
    <row r="1" spans="1:16">
      <c r="A1" s="46"/>
      <c r="B1" s="45"/>
      <c r="C1" s="54" t="s">
        <v>227</v>
      </c>
      <c r="D1" s="45"/>
      <c r="E1" s="54" t="s">
        <v>245</v>
      </c>
      <c r="F1" s="88" t="s">
        <v>232</v>
      </c>
      <c r="G1" s="45"/>
      <c r="H1" s="54" t="s">
        <v>229</v>
      </c>
      <c r="I1" s="45"/>
      <c r="J1" s="54" t="s">
        <v>230</v>
      </c>
      <c r="N1" s="54"/>
      <c r="O1" s="54" t="s">
        <v>246</v>
      </c>
      <c r="P1" s="88" t="s">
        <v>232</v>
      </c>
    </row>
    <row r="2" spans="1:9">
      <c r="A2" s="19"/>
      <c r="B2" s="45"/>
      <c r="C2" s="45"/>
      <c r="D2" s="45"/>
      <c r="G2" s="45"/>
      <c r="H2" s="45"/>
      <c r="I2" s="45"/>
    </row>
    <row r="3" spans="1:24">
      <c r="A3" s="47" t="s">
        <v>7</v>
      </c>
      <c r="B3" s="19"/>
      <c r="C3" s="48" t="s">
        <v>8</v>
      </c>
      <c r="D3" s="19"/>
      <c r="E3" s="48" t="s">
        <v>8</v>
      </c>
      <c r="G3" s="19"/>
      <c r="H3" s="48" t="s">
        <v>8</v>
      </c>
      <c r="I3" s="19"/>
      <c r="J3" s="48" t="s">
        <v>8</v>
      </c>
      <c r="O3" s="48" t="s">
        <v>8</v>
      </c>
      <c r="S3" t="s">
        <v>11</v>
      </c>
      <c r="T3" t="str">
        <f aca="1">CELL("address",E17)</f>
        <v>$E$17</v>
      </c>
      <c r="U3" s="44" t="n">
        <v>12497.909999999998</v>
      </c>
      <c r="V3" s="89" t="s">
        <v>247</v>
      </c>
      <c r="W3">
        <f>U3-1167-10000</f>
        <v>1330.90999999999985</v>
      </c>
      <c r="X3" t="s">
        <v>248</v>
      </c>
    </row>
    <row r="4" spans="1:21">
      <c r="A4" s="19" t="s">
        <v>10</v>
      </c>
      <c r="B4" s="19"/>
      <c r="C4" s="52" t="n">
        <v>300</v>
      </c>
      <c r="D4" s="19"/>
      <c r="E4" s="52">
        <f>U12</f>
        <v>189.449999999999989</v>
      </c>
      <c r="F4" s="52">
        <f>ROUND(100*E4/C4,0)</f>
        <v>63</v>
      </c>
      <c r="G4" s="19"/>
      <c r="H4" s="52" t="n">
        <v>210</v>
      </c>
      <c r="I4" s="19"/>
      <c r="J4" s="52" t="n">
        <v>565</v>
      </c>
      <c r="N4" s="52"/>
      <c r="O4" s="52" t="n">
        <v>120</v>
      </c>
      <c r="P4" s="52" t="n">
        <v>21</v>
      </c>
      <c r="S4" t="s">
        <v>20</v>
      </c>
      <c r="T4" t="str">
        <f aca="1">CELL("address",E7)</f>
        <v>$E$7</v>
      </c>
      <c r="U4" s="44" t="n">
        <v>693.470000000000027</v>
      </c>
    </row>
    <row r="5" spans="1:21">
      <c r="A5" s="19" t="s">
        <v>22</v>
      </c>
      <c r="B5" s="19"/>
      <c r="C5" s="52" t="n">
        <v>1700</v>
      </c>
      <c r="D5" s="19"/>
      <c r="E5" s="52">
        <f>U11</f>
        <v>2042.57000000000039</v>
      </c>
      <c r="F5" s="52">
        <f>ROUND(100*E5/C5,0)</f>
        <v>120</v>
      </c>
      <c r="G5" s="19"/>
      <c r="H5" s="52" t="n">
        <v>1363</v>
      </c>
      <c r="I5" s="19"/>
      <c r="J5" s="52" t="n">
        <v>2481</v>
      </c>
      <c r="N5" s="52"/>
      <c r="O5" s="52" t="n">
        <v>435.610000000000014</v>
      </c>
      <c r="P5" s="52" t="n">
        <v>21</v>
      </c>
      <c r="S5" t="s">
        <v>23</v>
      </c>
      <c r="T5" t="str">
        <f aca="1">CELL("address",E8)</f>
        <v>$E$8</v>
      </c>
      <c r="U5" s="44" t="n">
        <v>275</v>
      </c>
    </row>
    <row r="6" spans="1:21">
      <c r="A6" s="19" t="s">
        <v>26</v>
      </c>
      <c r="B6" s="19"/>
      <c r="C6" s="52" t="n">
        <v>7850</v>
      </c>
      <c r="D6" s="19"/>
      <c r="E6" s="52">
        <f>U17</f>
        <v>8318.63999999999942</v>
      </c>
      <c r="F6" s="52">
        <f>ROUND(100*E6/C6,0)</f>
        <v>106</v>
      </c>
      <c r="G6" s="19"/>
      <c r="H6" s="52" t="n">
        <v>7811</v>
      </c>
      <c r="I6" s="19"/>
      <c r="J6" s="52" t="n">
        <v>6052</v>
      </c>
      <c r="N6" s="52"/>
      <c r="O6" s="52" t="n">
        <v>3103.5</v>
      </c>
      <c r="P6" s="52" t="n">
        <v>52</v>
      </c>
      <c r="S6" t="s">
        <v>27</v>
      </c>
      <c r="T6" t="str">
        <f aca="1">CELL("address",E14)</f>
        <v>$E$14</v>
      </c>
      <c r="U6" s="44" t="n">
        <v>0</v>
      </c>
    </row>
    <row r="7" spans="1:21">
      <c r="A7" s="19" t="s">
        <v>30</v>
      </c>
      <c r="B7" s="19"/>
      <c r="C7" s="52" t="n">
        <v>1600</v>
      </c>
      <c r="D7" s="19"/>
      <c r="E7" s="52">
        <f>U4</f>
        <v>693.470000000000027</v>
      </c>
      <c r="F7" s="52">
        <f>ROUND(100*E7/C7,0)</f>
        <v>43</v>
      </c>
      <c r="G7" s="19"/>
      <c r="H7" s="52" t="n">
        <v>2344</v>
      </c>
      <c r="I7" s="19"/>
      <c r="J7" s="52" t="n">
        <v>352</v>
      </c>
      <c r="N7" s="52"/>
      <c r="O7" s="52" t="n">
        <v>322</v>
      </c>
      <c r="P7" s="52" t="n">
        <v>161</v>
      </c>
      <c r="S7" t="s">
        <v>31</v>
      </c>
      <c r="T7" t="str">
        <f aca="1">CELL("address",E15)</f>
        <v>$E$15</v>
      </c>
      <c r="U7" s="44" t="n">
        <v>1507.60000000000036</v>
      </c>
    </row>
    <row r="8" spans="1:21">
      <c r="A8" s="19" t="s">
        <v>33</v>
      </c>
      <c r="B8" s="19"/>
      <c r="C8" s="52" t="n">
        <v>300</v>
      </c>
      <c r="D8" s="19"/>
      <c r="E8" s="52">
        <f>U5</f>
        <v>275</v>
      </c>
      <c r="F8" s="52">
        <f>ROUND(100*E8/C8,0)</f>
        <v>92</v>
      </c>
      <c r="G8" s="19"/>
      <c r="H8" s="52" t="n">
        <v>238</v>
      </c>
      <c r="I8" s="19"/>
      <c r="J8" s="52" t="n">
        <v>110</v>
      </c>
      <c r="N8" s="52"/>
      <c r="O8" s="52" t="n">
        <v>75</v>
      </c>
      <c r="P8" s="52" t="n">
        <v>75</v>
      </c>
      <c r="S8" t="s">
        <v>34</v>
      </c>
      <c r="T8" t="str">
        <f aca="1">CELL("address",E16)</f>
        <v>$E$16</v>
      </c>
      <c r="U8" s="44" t="n">
        <v>222.5</v>
      </c>
    </row>
    <row r="9" spans="1:21">
      <c r="A9" s="19" t="s">
        <v>37</v>
      </c>
      <c r="B9" s="19"/>
      <c r="C9" s="52" t="n">
        <v>2860</v>
      </c>
      <c r="D9" s="19"/>
      <c r="E9" s="71">
        <f>W18</f>
        <v>2642.6850000000004</v>
      </c>
      <c r="F9" s="52">
        <f>ROUND(100*E9/C9,0)</f>
        <v>92</v>
      </c>
      <c r="G9" s="19"/>
      <c r="H9" s="52" t="n">
        <v>2796</v>
      </c>
      <c r="I9" s="19"/>
      <c r="J9" s="52" t="n">
        <v>2416</v>
      </c>
      <c r="N9" s="52"/>
      <c r="O9" s="52" t="n">
        <v>1569.38999999999965</v>
      </c>
      <c r="P9" s="52" t="n">
        <v>70</v>
      </c>
      <c r="S9" t="s">
        <v>38</v>
      </c>
      <c r="U9" s="44" t="n">
        <v>1790.45999999999958</v>
      </c>
    </row>
    <row r="10" spans="1:21">
      <c r="A10" s="19" t="s">
        <v>234</v>
      </c>
      <c r="B10" s="24"/>
      <c r="C10" s="52" t="n">
        <v>1300</v>
      </c>
      <c r="D10" s="24"/>
      <c r="E10" s="71">
        <f>U13-U31</f>
        <v>534</v>
      </c>
      <c r="F10" s="52">
        <f>ROUND(100*E10/C10,0)</f>
        <v>41</v>
      </c>
      <c r="G10" s="24"/>
      <c r="H10" s="52" t="n">
        <v>1784</v>
      </c>
      <c r="I10" s="24"/>
      <c r="J10" s="52">
        <f>2321-990</f>
        <v>1331</v>
      </c>
      <c r="N10" s="52"/>
      <c r="O10" s="52" t="n">
        <v>847</v>
      </c>
      <c r="P10" s="52" t="n">
        <v>47</v>
      </c>
      <c r="S10" t="s">
        <v>41</v>
      </c>
      <c r="T10" t="str">
        <f aca="1">CELL("address",E13)</f>
        <v>$E$13</v>
      </c>
      <c r="U10" s="44" t="n">
        <v>87.4399999999999835</v>
      </c>
    </row>
    <row r="11" spans="1:21">
      <c r="A11" s="19" t="s">
        <v>43</v>
      </c>
      <c r="B11" s="19"/>
      <c r="C11" s="52" t="n">
        <v>2830</v>
      </c>
      <c r="D11" s="19"/>
      <c r="E11" s="71">
        <f>U19</f>
        <v>2659.11999999999989</v>
      </c>
      <c r="F11" s="52">
        <f>ROUND(100*E11/C11,0)</f>
        <v>94</v>
      </c>
      <c r="G11" s="19"/>
      <c r="H11" s="52" t="n">
        <v>3003</v>
      </c>
      <c r="I11" s="19"/>
      <c r="J11" s="52" t="n">
        <v>4454</v>
      </c>
      <c r="N11" s="52"/>
      <c r="O11" s="52" t="n">
        <v>1990.98000000000002</v>
      </c>
      <c r="P11" s="52" t="n">
        <v>45</v>
      </c>
      <c r="S11" t="s">
        <v>44</v>
      </c>
      <c r="T11" t="str">
        <f aca="1">CELL("address",E5)</f>
        <v>$E$5</v>
      </c>
      <c r="U11" s="44" t="n">
        <v>2042.57000000000039</v>
      </c>
    </row>
    <row r="12" spans="1:21">
      <c r="A12" s="19" t="s">
        <v>47</v>
      </c>
      <c r="B12" s="19"/>
      <c r="C12" s="52" t="n">
        <v>5</v>
      </c>
      <c r="D12" s="19"/>
      <c r="E12" s="74" t="n">
        <v>423</v>
      </c>
      <c r="F12" s="52">
        <f>ROUND(100*E12/C12,0)</f>
        <v>8460</v>
      </c>
      <c r="G12" s="19"/>
      <c r="H12" s="52" t="n">
        <v>3</v>
      </c>
      <c r="I12" s="19"/>
      <c r="J12" s="52" t="n">
        <v>48</v>
      </c>
      <c r="N12" s="52"/>
      <c r="O12" s="52" t="n">
        <v>183</v>
      </c>
      <c r="P12" s="52" t="n">
        <v>366</v>
      </c>
      <c r="S12" t="s">
        <v>48</v>
      </c>
      <c r="T12" t="str">
        <f aca="1">CELL("address",E4)</f>
        <v>$E$4</v>
      </c>
      <c r="U12" s="44" t="n">
        <v>189.449999999999989</v>
      </c>
    </row>
    <row r="13" spans="1:21">
      <c r="A13" s="19" t="s">
        <v>41</v>
      </c>
      <c r="B13" s="19"/>
      <c r="C13" s="52" t="n">
        <v>100</v>
      </c>
      <c r="D13" s="19"/>
      <c r="E13" s="71">
        <f>U10</f>
        <v>87.4399999999999835</v>
      </c>
      <c r="F13" s="52">
        <f>ROUND(100*E13/C13,0)</f>
        <v>87</v>
      </c>
      <c r="G13" s="19"/>
      <c r="H13" s="52" t="n">
        <v>99</v>
      </c>
      <c r="I13" s="19"/>
      <c r="J13" s="52" t="n">
        <v>160</v>
      </c>
      <c r="N13" s="52"/>
      <c r="O13" s="52" t="n">
        <v>17.6000000000000014</v>
      </c>
      <c r="P13" s="52" t="n">
        <v>12</v>
      </c>
      <c r="S13" t="s">
        <v>51</v>
      </c>
      <c r="T13" t="str">
        <f aca="1">CELL("address",E10)</f>
        <v>$E$10</v>
      </c>
      <c r="U13" s="44" t="n">
        <v>1009</v>
      </c>
    </row>
    <row r="14" spans="1:21">
      <c r="A14" s="19" t="s">
        <v>27</v>
      </c>
      <c r="B14" s="19"/>
      <c r="C14" s="52" t="n">
        <v>100</v>
      </c>
      <c r="D14" s="19"/>
      <c r="E14" s="71">
        <f>U6</f>
        <v>0</v>
      </c>
      <c r="F14" s="52">
        <f>ROUND(100*E14/C14,0)</f>
        <v>0</v>
      </c>
      <c r="G14" s="19"/>
      <c r="H14" s="52" t="n">
        <v>0</v>
      </c>
      <c r="I14" s="19"/>
      <c r="J14" s="52" t="n">
        <v>200</v>
      </c>
      <c r="N14" s="52"/>
      <c r="O14" s="52" t="n">
        <v>0</v>
      </c>
      <c r="P14" s="52" t="n">
        <v>0</v>
      </c>
      <c r="S14" t="s">
        <v>53</v>
      </c>
      <c r="U14" s="44" t="n">
        <v>21819.7300000000068</v>
      </c>
    </row>
    <row r="15" spans="1:21">
      <c r="A15" s="19" t="s">
        <v>249</v>
      </c>
      <c r="B15" s="19"/>
      <c r="C15" s="52" t="n">
        <v>1000</v>
      </c>
      <c r="D15" s="19"/>
      <c r="E15" s="71">
        <f>U7</f>
        <v>1507.60000000000036</v>
      </c>
      <c r="F15" s="52">
        <f>ROUND(100*E15/C15,0)</f>
        <v>151</v>
      </c>
      <c r="G15" s="19"/>
      <c r="H15" s="52" t="n">
        <v>440</v>
      </c>
      <c r="I15" s="19"/>
      <c r="J15" s="52">
        <f>748-179</f>
        <v>569</v>
      </c>
      <c r="N15" s="52"/>
      <c r="O15" s="52" t="n">
        <v>136</v>
      </c>
      <c r="P15" s="52" t="n">
        <v>25</v>
      </c>
      <c r="S15" t="s">
        <v>56</v>
      </c>
      <c r="U15" s="44" t="n">
        <v>6316.5</v>
      </c>
    </row>
    <row r="16" spans="1:19">
      <c r="A16" s="19" t="s">
        <v>236</v>
      </c>
      <c r="B16" s="19"/>
      <c r="C16" s="52" t="n">
        <v>400</v>
      </c>
      <c r="D16" s="19"/>
      <c r="E16" s="71">
        <f>U8</f>
        <v>222.5</v>
      </c>
      <c r="F16" s="52">
        <f>ROUND(100*E16/C16,0)</f>
        <v>56</v>
      </c>
      <c r="G16" s="19"/>
      <c r="H16" s="52" t="n">
        <v>126</v>
      </c>
      <c r="I16" s="19"/>
      <c r="J16" s="52" t="n">
        <v>179</v>
      </c>
      <c r="N16" s="52"/>
      <c r="O16" s="52" t="n">
        <v>255.669999999999987</v>
      </c>
      <c r="P16" s="52" t="n">
        <v>64</v>
      </c>
      <c r="S16" t="s">
        <v>59</v>
      </c>
    </row>
    <row r="17" spans="1:21">
      <c r="A17" s="19" t="s">
        <v>11</v>
      </c>
      <c r="B17" s="19"/>
      <c r="C17" s="52" t="n">
        <v>100</v>
      </c>
      <c r="D17" s="19"/>
      <c r="E17" s="71">
        <f>W3</f>
        <v>1330.90999999999985</v>
      </c>
      <c r="F17" s="52">
        <f>ROUND(100*E17/C17,0)</f>
        <v>1331</v>
      </c>
      <c r="G17" s="19"/>
      <c r="H17" s="52" t="n">
        <v>274</v>
      </c>
      <c r="I17" s="19"/>
      <c r="J17" s="52" t="n">
        <v>307</v>
      </c>
      <c r="N17" s="52"/>
      <c r="P17" s="52"/>
      <c r="S17" t="s">
        <v>63</v>
      </c>
      <c r="T17" t="str">
        <f aca="1">CELL("address",E6)</f>
        <v>$E$6</v>
      </c>
      <c r="U17" s="44" t="n">
        <v>8318.63999999999942</v>
      </c>
    </row>
    <row r="18" spans="1:24">
      <c r="A18" s="25"/>
      <c r="B18" s="24"/>
      <c r="C18" s="52"/>
      <c r="D18" s="24"/>
      <c r="E18" s="72"/>
      <c r="F18" s="52"/>
      <c r="G18" s="24"/>
      <c r="H18" s="52"/>
      <c r="I18" s="24"/>
      <c r="N18" s="52"/>
      <c r="O18" s="52" t="n">
        <v>9055.75</v>
      </c>
      <c r="P18" s="52" t="n">
        <v>48</v>
      </c>
      <c r="S18" t="s">
        <v>67</v>
      </c>
      <c r="T18" t="str">
        <f aca="1">CELL("address",E9)</f>
        <v>$E$9</v>
      </c>
      <c r="U18" s="44" t="n">
        <v>4221.8100000000004</v>
      </c>
      <c r="V18" s="89" t="s">
        <v>247</v>
      </c>
      <c r="W18">
        <f>U18-U15/4</f>
        <v>2642.6850000000004</v>
      </c>
      <c r="X18" t="s">
        <v>250</v>
      </c>
    </row>
    <row r="19" spans="1:21">
      <c r="A19" s="19"/>
      <c r="B19" s="49" t="s">
        <v>78</v>
      </c>
      <c r="C19" s="52">
        <f>SUM(C4:C18)</f>
        <v>20445</v>
      </c>
      <c r="D19" s="49"/>
      <c r="E19" s="52">
        <f>SUM(E4:E18)</f>
        <v>20926.3849999999984</v>
      </c>
      <c r="F19" s="52">
        <f>ROUND(100*E19/C19,0)</f>
        <v>102</v>
      </c>
      <c r="G19" s="49"/>
      <c r="H19" s="52">
        <f>SUM(H4:H18)</f>
        <v>20491</v>
      </c>
      <c r="I19" s="24"/>
      <c r="J19" s="52">
        <f>SUM(J4:J18)</f>
        <v>19224</v>
      </c>
      <c r="N19" s="52"/>
      <c r="O19" s="52"/>
      <c r="P19" s="52"/>
      <c r="S19" t="s">
        <v>71</v>
      </c>
      <c r="T19" t="str">
        <f aca="1">CELL("address",E11)</f>
        <v>$E$11</v>
      </c>
      <c r="U19" s="44" t="n">
        <v>2659.11999999999989</v>
      </c>
    </row>
    <row r="20" spans="1:21">
      <c r="A20" s="19"/>
      <c r="B20" s="49"/>
      <c r="C20" s="52"/>
      <c r="D20" s="49"/>
      <c r="E20" s="52"/>
      <c r="F20" s="52"/>
      <c r="G20" s="49"/>
      <c r="H20" s="52"/>
      <c r="I20" s="24"/>
      <c r="J20" s="52"/>
      <c r="N20" s="52"/>
      <c r="O20" s="52"/>
      <c r="P20" s="52"/>
      <c r="S20" t="s">
        <v>74</v>
      </c>
      <c r="U20" s="44" t="n">
        <v>90</v>
      </c>
    </row>
    <row r="21" spans="1:14">
      <c r="A21" s="65" t="s">
        <v>237</v>
      </c>
      <c r="B21" s="49"/>
      <c r="C21" s="52"/>
      <c r="D21" s="49"/>
      <c r="E21" s="52"/>
      <c r="F21" s="52"/>
      <c r="G21" s="49"/>
      <c r="H21" s="52"/>
      <c r="I21" s="24"/>
      <c r="J21" s="52"/>
      <c r="N21" s="52"/>
    </row>
    <row r="22" spans="1:24">
      <c r="A22" s="19" t="s">
        <v>244</v>
      </c>
      <c r="B22" s="19"/>
      <c r="C22" s="19"/>
      <c r="D22" s="19"/>
      <c r="G22" s="19"/>
      <c r="H22" s="52"/>
      <c r="I22" s="24"/>
      <c r="S22" t="s">
        <v>251</v>
      </c>
      <c r="U22" s="44">
        <f>SUM(U3:U21)</f>
        <v>63741.2000000000044</v>
      </c>
      <c r="V22" s="89" t="s">
        <v>247</v>
      </c>
      <c r="W22">
        <f>U22-U9-U14-U15*5/4-U3+W3-U20-U31</f>
        <v>20503.3849999999984</v>
      </c>
      <c r="X22" t="s">
        <v>252</v>
      </c>
    </row>
    <row r="23" spans="1:9">
      <c r="A23" s="19" t="s">
        <v>239</v>
      </c>
      <c r="B23" s="19"/>
      <c r="C23" s="19"/>
      <c r="D23" s="19"/>
      <c r="G23" s="19"/>
      <c r="H23" s="52"/>
      <c r="I23" s="24"/>
    </row>
    <row r="24" spans="1:9">
      <c r="A24" s="19"/>
      <c r="B24" s="19"/>
      <c r="C24" s="19"/>
      <c r="D24" s="19"/>
      <c r="G24" s="19"/>
      <c r="H24" s="52"/>
      <c r="I24" s="19"/>
    </row>
    <row r="25" spans="1:24">
      <c r="A25" s="47" t="s">
        <v>87</v>
      </c>
      <c r="B25" s="19"/>
      <c r="C25" s="48" t="s">
        <v>8</v>
      </c>
      <c r="D25" s="19"/>
      <c r="E25" s="48" t="s">
        <v>8</v>
      </c>
      <c r="G25" s="19"/>
      <c r="H25" s="53" t="s">
        <v>8</v>
      </c>
      <c r="I25" s="48"/>
      <c r="J25" s="53" t="s">
        <v>8</v>
      </c>
      <c r="O25" s="48" t="s">
        <v>8</v>
      </c>
      <c r="S25" t="s">
        <v>11</v>
      </c>
      <c r="T25" t="str">
        <f aca="1">CELL("address",E35)</f>
        <v>$E$35</v>
      </c>
      <c r="U25" s="44" t="n">
        <v>1407.79999999999995</v>
      </c>
      <c r="V25" s="89" t="s">
        <v>247</v>
      </c>
      <c r="W25">
        <f>U25-1167</f>
        <v>240.799999999999955</v>
      </c>
      <c r="X25" t="s">
        <v>248</v>
      </c>
    </row>
    <row r="26" spans="1:21">
      <c r="A26" s="19" t="s">
        <v>88</v>
      </c>
      <c r="B26" s="19"/>
      <c r="C26" s="52" t="n">
        <v>11710</v>
      </c>
      <c r="D26" s="19"/>
      <c r="E26" s="52">
        <f>U30</f>
        <v>11709.6800000000003</v>
      </c>
      <c r="F26" s="52">
        <f>ROUND(100*E26/C26,0)</f>
        <v>100</v>
      </c>
      <c r="G26" s="19"/>
      <c r="H26" s="52" t="n">
        <v>11532</v>
      </c>
      <c r="I26" s="24"/>
      <c r="J26" s="52" t="n">
        <v>11466</v>
      </c>
      <c r="N26" s="52"/>
      <c r="O26" s="52" t="n">
        <v>5767.15000000000146</v>
      </c>
      <c r="P26" s="52" t="n">
        <v>49</v>
      </c>
      <c r="S26" s="75" t="s">
        <v>90</v>
      </c>
      <c r="T26" t="str">
        <f aca="1">CELL("address",E27)</f>
        <v>$E$27</v>
      </c>
      <c r="U26" s="44" t="n">
        <v>148.52000000000001</v>
      </c>
    </row>
    <row r="27" spans="1:21">
      <c r="A27" s="19" t="s">
        <v>90</v>
      </c>
      <c r="B27" s="19"/>
      <c r="C27" s="52"/>
      <c r="D27" s="19"/>
      <c r="E27" s="52">
        <f>U26</f>
        <v>148.52000000000001</v>
      </c>
      <c r="F27" s="52"/>
      <c r="G27" s="19"/>
      <c r="H27" s="52"/>
      <c r="I27" s="24"/>
      <c r="J27" s="52"/>
      <c r="N27" s="52"/>
      <c r="O27" s="52"/>
      <c r="P27" s="52"/>
      <c r="S27" s="75" t="s">
        <v>92</v>
      </c>
      <c r="T27" t="str">
        <f aca="1">CELL("address",E28)</f>
        <v>$E$28</v>
      </c>
      <c r="U27" s="44" t="n">
        <v>336.430000000000007</v>
      </c>
    </row>
    <row r="28" spans="1:21">
      <c r="A28" s="19" t="s">
        <v>253</v>
      </c>
      <c r="B28" s="19"/>
      <c r="C28" s="52"/>
      <c r="D28" s="19"/>
      <c r="E28" s="52">
        <f>U27</f>
        <v>336.430000000000007</v>
      </c>
      <c r="F28" s="52"/>
      <c r="G28" s="19"/>
      <c r="H28" s="52"/>
      <c r="I28" s="24"/>
      <c r="J28" s="52"/>
      <c r="N28" s="52"/>
      <c r="O28" s="52"/>
      <c r="P28" s="52"/>
      <c r="S28" s="75" t="s">
        <v>95</v>
      </c>
      <c r="T28" t="str">
        <f aca="1">CELL("address",E29)</f>
        <v>$E$29</v>
      </c>
      <c r="U28" s="44" t="n">
        <v>28.1799999999999997</v>
      </c>
    </row>
    <row r="29" spans="1:21">
      <c r="A29" s="19" t="s">
        <v>249</v>
      </c>
      <c r="B29" s="19"/>
      <c r="C29" s="52"/>
      <c r="D29" s="19"/>
      <c r="E29" s="52">
        <f>U28</f>
        <v>28.1799999999999997</v>
      </c>
      <c r="F29" s="52"/>
      <c r="G29" s="19"/>
      <c r="H29" s="52"/>
      <c r="I29" s="24"/>
      <c r="J29" s="52"/>
      <c r="N29" s="52"/>
      <c r="O29" s="52"/>
      <c r="P29" s="52"/>
      <c r="S29" t="s">
        <v>98</v>
      </c>
      <c r="T29" t="str">
        <f aca="1">CELL("address",E33)</f>
        <v>$E$33</v>
      </c>
      <c r="U29" s="44" t="n">
        <v>75</v>
      </c>
    </row>
    <row r="30" spans="1:21">
      <c r="A30" s="19" t="s">
        <v>94</v>
      </c>
      <c r="B30" s="19"/>
      <c r="C30" s="52" t="n">
        <v>4200</v>
      </c>
      <c r="D30" s="19"/>
      <c r="E30" s="52">
        <f>U36</f>
        <v>4280.73999999999978</v>
      </c>
      <c r="F30" s="52">
        <f>ROUND(100*E30/C30,0)</f>
        <v>102</v>
      </c>
      <c r="G30" s="19"/>
      <c r="H30" s="52" t="n">
        <v>4163</v>
      </c>
      <c r="I30" s="24"/>
      <c r="J30" s="52" t="n">
        <v>4303</v>
      </c>
      <c r="N30" s="52"/>
      <c r="O30" s="52" t="n">
        <v>2184.42000000000007</v>
      </c>
      <c r="P30" s="52" t="n">
        <v>50</v>
      </c>
      <c r="S30" t="s">
        <v>101</v>
      </c>
      <c r="T30" t="str">
        <f aca="1">CELL("address",E26)</f>
        <v>$E$26</v>
      </c>
      <c r="U30" s="44" t="n">
        <v>11709.6800000000003</v>
      </c>
    </row>
    <row r="31" spans="1:21">
      <c r="A31" s="19" t="s">
        <v>97</v>
      </c>
      <c r="B31" s="19"/>
      <c r="C31" s="52" t="n">
        <v>2000</v>
      </c>
      <c r="D31" s="19"/>
      <c r="E31" s="52">
        <f>U33</f>
        <v>2079.19000000000005</v>
      </c>
      <c r="F31" s="52">
        <f>ROUND(100*E31/C31,0)</f>
        <v>104</v>
      </c>
      <c r="G31" s="19"/>
      <c r="H31" s="52" t="n">
        <v>2164</v>
      </c>
      <c r="I31" s="24"/>
      <c r="J31" s="52" t="n">
        <v>2139</v>
      </c>
      <c r="N31" s="52"/>
      <c r="O31" s="52" t="n">
        <v>1454.48000000000002</v>
      </c>
      <c r="P31" s="52" t="n">
        <v>61</v>
      </c>
      <c r="S31" t="s">
        <v>103</v>
      </c>
      <c r="U31" s="44" t="n">
        <v>475</v>
      </c>
    </row>
    <row r="32" spans="1:21">
      <c r="A32" s="19" t="s">
        <v>100</v>
      </c>
      <c r="B32" s="19"/>
      <c r="C32" s="52" t="n">
        <v>1750</v>
      </c>
      <c r="D32" s="19"/>
      <c r="E32" s="52">
        <f>U34</f>
        <v>1556.61999999999966</v>
      </c>
      <c r="F32" s="52">
        <f>ROUND(100*E32/C32,0)</f>
        <v>89</v>
      </c>
      <c r="G32" s="19"/>
      <c r="H32" s="52" t="n">
        <v>1068</v>
      </c>
      <c r="I32" s="24"/>
      <c r="J32" s="52" t="n">
        <v>1192</v>
      </c>
      <c r="N32" s="52"/>
      <c r="O32" s="52" t="n">
        <v>1652.61999999999966</v>
      </c>
      <c r="P32" s="52" t="n">
        <v>83</v>
      </c>
      <c r="S32" t="s">
        <v>105</v>
      </c>
      <c r="T32" t="str">
        <f aca="1">CELL("address",E34)</f>
        <v>$E$34</v>
      </c>
      <c r="U32" s="44" t="n">
        <v>827.549999999999841</v>
      </c>
    </row>
    <row r="33" spans="1:21">
      <c r="A33" s="19" t="s">
        <v>98</v>
      </c>
      <c r="B33" s="19"/>
      <c r="C33" s="52" t="n">
        <v>75</v>
      </c>
      <c r="D33" s="19"/>
      <c r="E33" s="52">
        <f>U29</f>
        <v>75</v>
      </c>
      <c r="F33" s="52">
        <f>ROUND(100*E33/C33,0)</f>
        <v>100</v>
      </c>
      <c r="G33" s="19"/>
      <c r="H33" s="52" t="n">
        <v>75</v>
      </c>
      <c r="I33" s="24"/>
      <c r="J33" s="60" t="n">
        <v>75</v>
      </c>
      <c r="N33" s="52"/>
      <c r="O33" s="52" t="n">
        <v>37.5</v>
      </c>
      <c r="P33" s="52" t="n">
        <v>50</v>
      </c>
      <c r="S33" t="s">
        <v>106</v>
      </c>
      <c r="T33" t="str">
        <f aca="1">CELL("address",E31)</f>
        <v>$E$31</v>
      </c>
      <c r="U33" s="44" t="n">
        <v>2079.19000000000005</v>
      </c>
    </row>
    <row r="34" spans="1:21">
      <c r="A34" s="19" t="s">
        <v>91</v>
      </c>
      <c r="B34" s="19"/>
      <c r="C34" s="52" t="n">
        <v>500</v>
      </c>
      <c r="D34" s="19"/>
      <c r="E34" s="52">
        <f>U32</f>
        <v>827.549999999999841</v>
      </c>
      <c r="F34" s="52">
        <f>ROUND(100*E34/C34,0)</f>
        <v>166</v>
      </c>
      <c r="G34" s="19"/>
      <c r="H34" s="52" t="n">
        <v>519</v>
      </c>
      <c r="I34" s="24"/>
      <c r="J34" s="52" t="n">
        <v>1102</v>
      </c>
      <c r="N34" s="52"/>
      <c r="O34" s="52" t="n">
        <v>150</v>
      </c>
      <c r="P34" s="52" t="n">
        <v>30</v>
      </c>
      <c r="S34" t="s">
        <v>100</v>
      </c>
      <c r="T34" t="str">
        <f aca="1">CELL("address",E32)</f>
        <v>$E$32</v>
      </c>
      <c r="U34" s="44" t="n">
        <v>1556.61999999999966</v>
      </c>
    </row>
    <row r="35" spans="1:21">
      <c r="A35" s="19" t="s">
        <v>11</v>
      </c>
      <c r="B35" s="19"/>
      <c r="C35" s="52" t="n">
        <v>120</v>
      </c>
      <c r="D35" s="19"/>
      <c r="E35" s="52">
        <f>W25</f>
        <v>240.799999999999955</v>
      </c>
      <c r="F35" s="52">
        <f>ROUND(100*E35/C35,0)</f>
        <v>201</v>
      </c>
      <c r="G35" s="19"/>
      <c r="H35" s="52" t="n">
        <v>420</v>
      </c>
      <c r="I35" s="24"/>
      <c r="J35" s="52" t="n">
        <v>176</v>
      </c>
      <c r="N35" s="52"/>
      <c r="O35" s="52" t="n">
        <v>38</v>
      </c>
      <c r="P35" s="52" t="n">
        <v>25</v>
      </c>
      <c r="S35" t="s">
        <v>108</v>
      </c>
      <c r="U35" s="44" t="n">
        <v>110</v>
      </c>
    </row>
    <row r="36" spans="1:21">
      <c r="A36" s="19"/>
      <c r="B36" s="19"/>
      <c r="C36" s="52"/>
      <c r="D36" s="19"/>
      <c r="E36" s="52"/>
      <c r="F36" s="52"/>
      <c r="G36" s="19"/>
      <c r="H36" s="52"/>
      <c r="I36" s="24"/>
      <c r="J36" s="24"/>
      <c r="N36" s="52"/>
      <c r="O36" s="52"/>
      <c r="P36" s="52"/>
      <c r="S36" t="s">
        <v>94</v>
      </c>
      <c r="T36" t="str">
        <f aca="1">CELL("address",E30)</f>
        <v>$E$30</v>
      </c>
      <c r="U36" s="44" t="n">
        <v>4280.73999999999978</v>
      </c>
    </row>
    <row r="37" spans="1:24">
      <c r="A37" s="19"/>
      <c r="B37" s="25" t="s">
        <v>109</v>
      </c>
      <c r="C37" s="52">
        <f>SUM(C26:C36)</f>
        <v>20355</v>
      </c>
      <c r="D37" s="25"/>
      <c r="E37" s="52">
        <f>SUM(E26:E36)</f>
        <v>21282.7099999999991</v>
      </c>
      <c r="F37" s="52">
        <f>ROUND(100*E37/C37,0)</f>
        <v>105</v>
      </c>
      <c r="G37" s="25"/>
      <c r="H37" s="52">
        <f>SUM(H26:H36)</f>
        <v>19941</v>
      </c>
      <c r="I37" s="24"/>
      <c r="J37" s="52">
        <f>SUM(J26:J36)</f>
        <v>20453</v>
      </c>
      <c r="N37" s="52"/>
      <c r="O37" s="52" t="n">
        <v>11284.1700000000001</v>
      </c>
      <c r="P37" s="52" t="n">
        <v>53</v>
      </c>
      <c r="S37" t="s">
        <v>110</v>
      </c>
      <c r="U37" s="44" t="n">
        <v>2778.59999999999991</v>
      </c>
      <c r="X37" t="s">
        <v>254</v>
      </c>
    </row>
    <row r="38" spans="1:16">
      <c r="A38" s="19"/>
      <c r="B38" s="19"/>
      <c r="C38" s="19"/>
      <c r="D38" s="19"/>
      <c r="G38" s="19"/>
      <c r="H38" s="52"/>
      <c r="I38" s="19"/>
      <c r="P38" s="9"/>
    </row>
    <row r="39" spans="1:16">
      <c r="A39" s="19" t="s">
        <v>112</v>
      </c>
      <c r="B39" s="19"/>
      <c r="C39" s="52">
        <f>C19-C37</f>
        <v>90</v>
      </c>
      <c r="D39" s="19"/>
      <c r="E39" s="52">
        <f>E19-E37</f>
        <v>-356.325000000000728</v>
      </c>
      <c r="G39" s="19"/>
      <c r="H39" s="52">
        <f>H19-H37</f>
        <v>550</v>
      </c>
      <c r="I39" s="24"/>
      <c r="J39" s="52">
        <f>J19-J37</f>
        <v>-1229</v>
      </c>
      <c r="P39" s="9"/>
    </row>
    <row r="40" spans="16:24">
      <c r="P40" s="9"/>
      <c r="U40" s="44">
        <f>SUM(U25:U39)</f>
        <v>25813.3099999999977</v>
      </c>
      <c r="V40" s="89" t="s">
        <v>247</v>
      </c>
      <c r="W40">
        <f>U40-U25+W25-U31-U35-U37</f>
        <v>21282.7100000000028</v>
      </c>
      <c r="X40" t="s">
        <v>252</v>
      </c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30"/>
  <sheetViews>
    <sheetView view="normal" zoomScale="87" workbookViewId="0">
      <selection activeCell="C17" sqref="C17"/>
    </sheetView>
  </sheetViews>
  <sheetFormatPr baseColWidth="7" defaultColWidth="8.345865" defaultRowHeight="15.80"/>
  <cols>
    <col min="1" max="1" width="21.714286" customWidth="1" style="68"/>
    <col min="2" max="2" width="3.684211" customWidth="1" style="68"/>
    <col min="3" max="3" width="9.571429" customWidth="1" style="68"/>
    <col min="4" max="4" width="2.669173" customWidth="1" style="68"/>
    <col min="5" max="5" width="7.451128" customWidth="1" style="68"/>
    <col min="6" max="6" width="2.150376" customWidth="1" style="68"/>
    <col min="7" max="7" width="7.383459" customWidth="1" style="68"/>
    <col min="8" max="8" width="2.233083" customWidth="1" style="68"/>
    <col min="9" max="9" width="7.669173" customWidth="1" style="68"/>
    <col min="10" max="10" width="6.165414" customWidth="1" style="68"/>
    <col min="11" max="256" width="8.345865" style="68"/>
  </cols>
  <sheetData>
    <row r="1" spans="1:11">
      <c r="A1" s="46"/>
      <c r="B1" s="45"/>
      <c r="C1" s="54" t="s">
        <v>255</v>
      </c>
      <c r="D1" s="45"/>
      <c r="E1" s="54" t="s">
        <v>256</v>
      </c>
      <c r="F1" s="45"/>
      <c r="G1" s="54" t="s">
        <v>230</v>
      </c>
      <c r="H1"/>
      <c r="I1" s="54" t="s">
        <v>233</v>
      </c>
      <c r="J1" s="88" t="s">
        <v>232</v>
      </c>
      <c r="K1" s="88" t="s">
        <v>232</v>
      </c>
    </row>
    <row r="2" spans="1:11">
      <c r="A2" s="66" t="s">
        <v>7</v>
      </c>
      <c r="B2" s="67"/>
      <c r="C2" s="67"/>
      <c r="D2" s="67"/>
      <c r="E2" s="67"/>
      <c r="F2" s="67"/>
      <c r="G2" s="53" t="s">
        <v>8</v>
      </c>
      <c r="H2" s="67"/>
      <c r="I2" s="53" t="s">
        <v>8</v>
      </c>
      <c r="J2" s="67"/>
      <c r="K2"/>
    </row>
    <row r="3" spans="1:11">
      <c r="A3" s="52" t="s">
        <v>10</v>
      </c>
      <c r="B3" s="52"/>
      <c r="C3" s="52" t="n">
        <v>580</v>
      </c>
      <c r="D3" s="52"/>
      <c r="E3" s="52" t="n">
        <v>580</v>
      </c>
      <c r="F3" s="52"/>
      <c r="G3" s="52" t="n">
        <v>565</v>
      </c>
      <c r="H3" s="52"/>
      <c r="I3" s="52" t="n">
        <v>120</v>
      </c>
      <c r="J3" s="52" t="n">
        <v>21</v>
      </c>
      <c r="K3" s="52" t="n">
        <v>41</v>
      </c>
    </row>
    <row r="4" spans="1:11">
      <c r="A4" s="52" t="s">
        <v>22</v>
      </c>
      <c r="B4" s="52"/>
      <c r="C4" s="52" t="n">
        <v>2100</v>
      </c>
      <c r="D4" s="52"/>
      <c r="E4" s="52" t="n">
        <v>2200</v>
      </c>
      <c r="F4" s="52"/>
      <c r="G4" s="52" t="n">
        <v>2481</v>
      </c>
      <c r="H4" s="52"/>
      <c r="I4" s="52" t="n">
        <v>435.610000000000014</v>
      </c>
      <c r="J4" s="52" t="n">
        <v>21</v>
      </c>
      <c r="K4" s="52" t="n">
        <v>52</v>
      </c>
    </row>
    <row r="5" spans="1:11">
      <c r="A5" s="52" t="s">
        <v>26</v>
      </c>
      <c r="B5" s="52"/>
      <c r="C5" s="52" t="n">
        <v>6000</v>
      </c>
      <c r="D5" s="52"/>
      <c r="E5" s="52" t="n">
        <v>6000</v>
      </c>
      <c r="F5" s="52"/>
      <c r="G5" s="52" t="n">
        <v>6052</v>
      </c>
      <c r="H5" s="52"/>
      <c r="I5" s="52" t="n">
        <v>3103.5</v>
      </c>
      <c r="J5" s="52" t="n">
        <v>52</v>
      </c>
      <c r="K5" s="52" t="n">
        <v>50</v>
      </c>
    </row>
    <row r="6" spans="1:11">
      <c r="A6" s="52" t="s">
        <v>30</v>
      </c>
      <c r="B6" s="52"/>
      <c r="C6" s="52" t="n">
        <v>200</v>
      </c>
      <c r="D6" s="52"/>
      <c r="E6" s="52" t="n">
        <v>100</v>
      </c>
      <c r="F6" s="52"/>
      <c r="G6" s="52" t="n">
        <v>352</v>
      </c>
      <c r="H6" s="52"/>
      <c r="I6" s="52" t="n">
        <v>322</v>
      </c>
      <c r="J6" s="52" t="n">
        <v>161</v>
      </c>
      <c r="K6" s="52" t="n">
        <v>86</v>
      </c>
    </row>
    <row r="7" spans="1:11">
      <c r="A7" s="52" t="s">
        <v>33</v>
      </c>
      <c r="B7" s="52"/>
      <c r="C7" s="52" t="n">
        <v>100</v>
      </c>
      <c r="D7" s="52"/>
      <c r="E7" s="52" t="n">
        <v>100</v>
      </c>
      <c r="F7" s="52"/>
      <c r="G7" s="52" t="n">
        <v>110</v>
      </c>
      <c r="H7" s="52"/>
      <c r="I7" s="52" t="n">
        <v>75</v>
      </c>
      <c r="J7" s="52" t="n">
        <v>75</v>
      </c>
      <c r="K7" s="52" t="n">
        <v>94</v>
      </c>
    </row>
    <row r="8" spans="1:11">
      <c r="A8" s="52" t="s">
        <v>37</v>
      </c>
      <c r="B8" s="52"/>
      <c r="C8" s="52" t="n">
        <v>2250</v>
      </c>
      <c r="D8" s="52"/>
      <c r="E8" s="52" t="n">
        <v>2257.5</v>
      </c>
      <c r="F8" s="52"/>
      <c r="G8" s="52" t="n">
        <v>2416</v>
      </c>
      <c r="H8" s="52"/>
      <c r="I8" s="52" t="n">
        <v>1569.38999999999965</v>
      </c>
      <c r="J8" s="52" t="n">
        <v>70</v>
      </c>
      <c r="K8" s="52" t="n">
        <v>75</v>
      </c>
    </row>
    <row r="9" spans="1:11">
      <c r="A9" s="52" t="s">
        <v>234</v>
      </c>
      <c r="B9" s="52"/>
      <c r="C9" s="52" t="n">
        <v>1800</v>
      </c>
      <c r="D9" s="52"/>
      <c r="E9" s="52" t="n">
        <v>1800</v>
      </c>
      <c r="F9" s="52"/>
      <c r="G9" s="52" t="n">
        <v>1331</v>
      </c>
      <c r="H9" s="52"/>
      <c r="I9" s="52" t="n">
        <v>847</v>
      </c>
      <c r="J9" s="52" t="n">
        <v>47</v>
      </c>
      <c r="K9" s="52" t="n">
        <v>29</v>
      </c>
    </row>
    <row r="10" spans="1:11">
      <c r="A10" s="52" t="s">
        <v>43</v>
      </c>
      <c r="B10" s="52"/>
      <c r="C10" s="52" t="n">
        <v>4450</v>
      </c>
      <c r="D10" s="52"/>
      <c r="E10" s="52" t="n">
        <v>4450</v>
      </c>
      <c r="F10" s="52"/>
      <c r="G10" s="52" t="n">
        <v>4454</v>
      </c>
      <c r="H10" s="52"/>
      <c r="I10" s="52" t="n">
        <v>1990.98000000000002</v>
      </c>
      <c r="J10" s="52" t="n">
        <v>45</v>
      </c>
      <c r="K10" s="52" t="n">
        <v>50</v>
      </c>
    </row>
    <row r="11" spans="1:11">
      <c r="A11" s="52" t="s">
        <v>47</v>
      </c>
      <c r="B11" s="52"/>
      <c r="C11" s="52" t="n">
        <v>50</v>
      </c>
      <c r="D11" s="52"/>
      <c r="E11" s="52" t="n">
        <v>75</v>
      </c>
      <c r="F11" s="52"/>
      <c r="G11" s="52" t="n">
        <v>48</v>
      </c>
      <c r="H11" s="52"/>
      <c r="I11" s="52" t="n">
        <v>183</v>
      </c>
      <c r="J11" s="52" t="n">
        <v>366</v>
      </c>
      <c r="K11" s="52" t="n">
        <v>271</v>
      </c>
    </row>
    <row r="12" spans="1:11">
      <c r="A12" s="52" t="s">
        <v>41</v>
      </c>
      <c r="B12" s="52"/>
      <c r="C12" s="52" t="n">
        <v>150</v>
      </c>
      <c r="D12" s="52"/>
      <c r="E12" s="52" t="n">
        <v>150</v>
      </c>
      <c r="F12" s="52"/>
      <c r="G12" s="52" t="n">
        <v>160</v>
      </c>
      <c r="H12" s="52"/>
      <c r="I12" s="52" t="n">
        <v>17.6000000000000014</v>
      </c>
      <c r="J12" s="52" t="n">
        <v>12</v>
      </c>
      <c r="K12" s="52" t="n">
        <v>44</v>
      </c>
    </row>
    <row r="13" spans="1:11">
      <c r="A13" s="52" t="s">
        <v>27</v>
      </c>
      <c r="B13" s="52"/>
      <c r="C13" s="52" t="n">
        <v>200</v>
      </c>
      <c r="D13" s="52"/>
      <c r="E13" s="52" t="n">
        <v>300</v>
      </c>
      <c r="F13" s="52"/>
      <c r="G13" s="52" t="n">
        <v>200</v>
      </c>
      <c r="H13" s="52"/>
      <c r="I13" s="52" t="n">
        <v>0</v>
      </c>
      <c r="J13" s="52" t="n">
        <v>0</v>
      </c>
      <c r="K13" s="52" t="n">
        <v>53</v>
      </c>
    </row>
    <row r="14" spans="1:11">
      <c r="A14" s="52" t="s">
        <v>243</v>
      </c>
      <c r="B14" s="52"/>
      <c r="C14" s="52" t="n">
        <v>550</v>
      </c>
      <c r="D14" s="52"/>
      <c r="E14" s="52" t="n">
        <v>400</v>
      </c>
      <c r="F14" s="52"/>
      <c r="G14" s="52" t="n">
        <v>569</v>
      </c>
      <c r="H14" s="52"/>
      <c r="I14" s="52" t="n">
        <v>136</v>
      </c>
      <c r="J14" s="52" t="n">
        <v>25</v>
      </c>
      <c r="K14" s="52" t="n">
        <v>64</v>
      </c>
    </row>
    <row r="15" spans="1:11">
      <c r="A15" s="52" t="s">
        <v>236</v>
      </c>
      <c r="B15" s="52"/>
      <c r="C15" s="52" t="n">
        <v>400</v>
      </c>
      <c r="D15" s="52"/>
      <c r="E15" s="52" t="n">
        <v>0</v>
      </c>
      <c r="F15" s="52"/>
      <c r="G15" s="52" t="n">
        <v>179</v>
      </c>
      <c r="H15" s="52"/>
      <c r="I15" s="52" t="n">
        <v>255.669999999999987</v>
      </c>
      <c r="J15" s="52" t="n">
        <v>64</v>
      </c>
      <c r="K15" s="52" t="n">
        <v>0</v>
      </c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 t="s">
        <v>78</v>
      </c>
      <c r="B17" s="52"/>
      <c r="C17" s="52" t="n">
        <v>18830</v>
      </c>
      <c r="D17" s="52"/>
      <c r="E17" s="52" t="n">
        <v>18412.5</v>
      </c>
      <c r="F17" s="52"/>
      <c r="G17" s="52" t="n">
        <v>18917</v>
      </c>
      <c r="H17" s="52"/>
      <c r="I17" s="52" t="n">
        <v>9055.75</v>
      </c>
      <c r="J17" s="52" t="n">
        <v>48</v>
      </c>
      <c r="K17" s="52" t="n">
        <v>53</v>
      </c>
    </row>
    <row r="18" spans="11:11">
      <c r="K18" s="52"/>
    </row>
    <row r="19" spans="1:10">
      <c r="A19" s="47" t="s">
        <v>87</v>
      </c>
      <c r="B19" s="19"/>
      <c r="C19" s="19"/>
      <c r="D19" s="19"/>
      <c r="E19" s="53" t="s">
        <v>8</v>
      </c>
      <c r="F19" s="48"/>
      <c r="G19" s="53" t="s">
        <v>8</v>
      </c>
      <c r="H19"/>
      <c r="I19" s="48" t="s">
        <v>8</v>
      </c>
      <c r="J19"/>
    </row>
    <row r="20" spans="1:11">
      <c r="A20" s="19" t="s">
        <v>88</v>
      </c>
      <c r="B20" s="19"/>
      <c r="C20" s="52" t="n">
        <v>11821</v>
      </c>
      <c r="D20" s="19"/>
      <c r="E20" s="52" t="n">
        <v>11466</v>
      </c>
      <c r="F20" s="24"/>
      <c r="G20" s="52" t="n">
        <v>11466</v>
      </c>
      <c r="H20"/>
      <c r="I20" s="52" t="n">
        <v>5767.15000000000146</v>
      </c>
      <c r="J20" s="52" t="n">
        <v>49</v>
      </c>
      <c r="K20" s="52" t="n">
        <v>50</v>
      </c>
    </row>
    <row r="21" spans="1:11">
      <c r="A21" s="19" t="s">
        <v>94</v>
      </c>
      <c r="B21" s="19"/>
      <c r="C21" s="52" t="n">
        <v>4400</v>
      </c>
      <c r="D21" s="19"/>
      <c r="E21" s="52" t="n">
        <v>4300</v>
      </c>
      <c r="F21" s="24"/>
      <c r="G21" s="52" t="n">
        <v>4303</v>
      </c>
      <c r="H21"/>
      <c r="I21" s="52" t="n">
        <v>2184.42000000000007</v>
      </c>
      <c r="J21" s="52" t="n">
        <v>50</v>
      </c>
      <c r="K21" s="52" t="n">
        <v>50</v>
      </c>
    </row>
    <row r="22" spans="1:11">
      <c r="A22" s="19" t="s">
        <v>97</v>
      </c>
      <c r="B22" s="19"/>
      <c r="C22" s="52" t="n">
        <v>2400</v>
      </c>
      <c r="D22" s="19"/>
      <c r="E22" s="52" t="n">
        <v>2400</v>
      </c>
      <c r="F22" s="24"/>
      <c r="G22" s="52" t="n">
        <v>2139</v>
      </c>
      <c r="H22"/>
      <c r="I22" s="52" t="n">
        <v>1454.48000000000002</v>
      </c>
      <c r="J22" s="52" t="n">
        <v>61</v>
      </c>
      <c r="K22" s="52" t="n">
        <v>69</v>
      </c>
    </row>
    <row r="23" spans="1:11">
      <c r="A23" s="19" t="s">
        <v>100</v>
      </c>
      <c r="B23" s="19"/>
      <c r="C23" s="52" t="n">
        <v>2000</v>
      </c>
      <c r="D23" s="19"/>
      <c r="E23" s="52" t="n">
        <v>1500</v>
      </c>
      <c r="F23" s="24"/>
      <c r="G23" s="52" t="n">
        <v>1192</v>
      </c>
      <c r="H23"/>
      <c r="I23" s="52" t="n">
        <v>1652.61999999999966</v>
      </c>
      <c r="J23" s="52" t="n">
        <v>83</v>
      </c>
      <c r="K23" s="52" t="n">
        <v>75</v>
      </c>
    </row>
    <row r="24" spans="1:11">
      <c r="A24" s="19" t="s">
        <v>98</v>
      </c>
      <c r="B24" s="19"/>
      <c r="C24" s="52" t="n">
        <v>75</v>
      </c>
      <c r="D24" s="19"/>
      <c r="E24" s="52" t="n">
        <v>75</v>
      </c>
      <c r="F24" s="24"/>
      <c r="G24" s="60" t="n">
        <v>75</v>
      </c>
      <c r="H24"/>
      <c r="I24" s="52" t="n">
        <v>37.5</v>
      </c>
      <c r="J24" s="52" t="n">
        <v>50</v>
      </c>
      <c r="K24" s="52" t="n">
        <v>50</v>
      </c>
    </row>
    <row r="25" spans="1:11">
      <c r="A25" s="19" t="s">
        <v>91</v>
      </c>
      <c r="B25" s="19"/>
      <c r="C25" s="52" t="n">
        <v>500</v>
      </c>
      <c r="D25" s="19"/>
      <c r="E25" s="52" t="n">
        <v>820</v>
      </c>
      <c r="F25" s="24"/>
      <c r="G25" s="52" t="n">
        <v>1102</v>
      </c>
      <c r="H25"/>
      <c r="I25" s="52" t="n">
        <v>150</v>
      </c>
      <c r="J25" s="52" t="n">
        <v>30</v>
      </c>
      <c r="K25" s="52" t="n">
        <v>0</v>
      </c>
    </row>
    <row r="26" spans="1:11">
      <c r="A26" s="19" t="s">
        <v>240</v>
      </c>
      <c r="B26" s="19"/>
      <c r="C26" s="52" t="n">
        <v>150</v>
      </c>
      <c r="D26" s="19"/>
      <c r="E26" s="52" t="n">
        <v>150</v>
      </c>
      <c r="F26" s="24"/>
      <c r="G26" s="52" t="n">
        <v>176</v>
      </c>
      <c r="H26"/>
      <c r="I26" s="52" t="n">
        <v>38</v>
      </c>
      <c r="J26" s="52" t="n">
        <v>25</v>
      </c>
      <c r="K26" s="52" t="n">
        <v>25</v>
      </c>
    </row>
    <row r="27" spans="1:11">
      <c r="A27" s="19"/>
      <c r="B27" s="19"/>
      <c r="C27" s="52"/>
      <c r="D27" s="19"/>
      <c r="E27" s="52"/>
      <c r="F27" s="24"/>
      <c r="G27" s="24"/>
      <c r="H27"/>
      <c r="I27" s="52"/>
      <c r="J27" s="52"/>
      <c r="K27" s="52"/>
    </row>
    <row r="28" spans="1:11">
      <c r="A28" s="25" t="s">
        <v>109</v>
      </c>
      <c r="B28" s="67"/>
      <c r="C28" s="52">
        <f>SUM(C20:C27)</f>
        <v>21346</v>
      </c>
      <c r="D28" s="25"/>
      <c r="E28" s="52">
        <f>SUM(E20:E27)</f>
        <v>20711</v>
      </c>
      <c r="F28" s="24"/>
      <c r="G28" s="52">
        <f>SUM(G20:G27)</f>
        <v>20453</v>
      </c>
      <c r="H28"/>
      <c r="I28" s="52" t="n">
        <v>11284.1700000000019</v>
      </c>
      <c r="J28" s="52" t="n">
        <v>53</v>
      </c>
      <c r="K28" s="52" t="n">
        <v>51</v>
      </c>
    </row>
    <row r="29" spans="1:10">
      <c r="A29" s="19"/>
      <c r="B29" s="19"/>
      <c r="C29" s="19"/>
      <c r="D29" s="19"/>
      <c r="E29" s="52"/>
      <c r="F29" s="19"/>
      <c r="G29"/>
      <c r="H29"/>
      <c r="I29"/>
      <c r="J29"/>
    </row>
    <row r="30" spans="1:10">
      <c r="A30" s="19" t="s">
        <v>112</v>
      </c>
      <c r="B30" s="19"/>
      <c r="C30" s="52" t="n">
        <v>-2516</v>
      </c>
      <c r="D30" s="52"/>
      <c r="E30" s="52" t="n">
        <v>-2298.5</v>
      </c>
      <c r="F30" s="52"/>
      <c r="G30" s="52" t="n">
        <v>-1536</v>
      </c>
      <c r="H30" s="52"/>
      <c r="I30" s="52" t="n">
        <v>-2228.42000000000007</v>
      </c>
      <c r="J30"/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S40"/>
  <sheetViews>
    <sheetView view="normal" zoomScale="87" workbookViewId="0">
      <selection activeCell="L22" sqref="L22"/>
    </sheetView>
  </sheetViews>
  <sheetFormatPr baseColWidth="9" defaultColWidth="10.000000" defaultRowHeight="15.80"/>
  <cols>
    <col min="1" max="1" width="21.714286" customWidth="1"/>
    <col min="2" max="2" width="1.932331" customWidth="1"/>
    <col min="3" max="3" width="7.496241" customWidth="1"/>
    <col min="4" max="4" width="2.127820" customWidth="1"/>
    <col min="5" max="5" width="6.977444" customWidth="1"/>
    <col min="6" max="6" width="2.127820" customWidth="1"/>
    <col min="7" max="7" width="7.127820" customWidth="1"/>
    <col min="8" max="8" width="2.127820" customWidth="1"/>
    <col min="9" max="9" width="7.669173" customWidth="1"/>
    <col min="10" max="10" width="6.165414" customWidth="1"/>
    <col min="11" max="11" width="2.127820" customWidth="1"/>
    <col min="12" max="12" width="7.533835" customWidth="1"/>
    <col min="13" max="13" width="6.240602" customWidth="1"/>
    <col min="14" max="14" width="1.421053" customWidth="1"/>
    <col min="15" max="15" width="1.308271" customWidth="1"/>
    <col min="16" max="16" width="20.609023" customWidth="1"/>
    <col min="17" max="17" width="0.932331" customWidth="1"/>
    <col min="18" max="18" width="9.714286" customWidth="1"/>
    <col min="19" max="19" width="3.609023" customWidth="1"/>
    <col min="20" max="20" width="9.714286" customWidth="1"/>
  </cols>
  <sheetData>
    <row r="1" spans="1:13">
      <c r="A1" s="46"/>
      <c r="B1" s="45"/>
      <c r="C1" s="54" t="s">
        <v>228</v>
      </c>
      <c r="D1" s="45"/>
      <c r="E1" s="54" t="s">
        <v>242</v>
      </c>
      <c r="F1" s="45"/>
      <c r="G1" s="54" t="s">
        <v>230</v>
      </c>
      <c r="I1" s="54" t="s">
        <v>257</v>
      </c>
      <c r="J1" s="88" t="s">
        <v>232</v>
      </c>
      <c r="K1" s="54"/>
      <c r="L1" s="54" t="s">
        <v>246</v>
      </c>
      <c r="M1" s="88" t="s">
        <v>232</v>
      </c>
    </row>
    <row r="2" spans="1:6">
      <c r="A2" s="19"/>
      <c r="B2" s="45"/>
      <c r="C2" s="45"/>
      <c r="D2" s="45"/>
      <c r="E2" s="45"/>
      <c r="F2" s="45"/>
    </row>
    <row r="3" spans="1:18">
      <c r="A3" s="47" t="s">
        <v>7</v>
      </c>
      <c r="B3" s="19"/>
      <c r="C3" s="48" t="s">
        <v>8</v>
      </c>
      <c r="D3" s="19"/>
      <c r="E3" s="48" t="s">
        <v>8</v>
      </c>
      <c r="F3" s="19"/>
      <c r="G3" s="48" t="s">
        <v>8</v>
      </c>
      <c r="I3" s="48" t="s">
        <v>8</v>
      </c>
      <c r="L3" s="48" t="s">
        <v>8</v>
      </c>
      <c r="P3" t="s">
        <v>11</v>
      </c>
      <c r="R3">
        <f>18987.03-313.1</f>
        <v>18673.9300000000003</v>
      </c>
    </row>
    <row r="4" spans="1:19">
      <c r="A4" s="19" t="s">
        <v>10</v>
      </c>
      <c r="B4" s="19"/>
      <c r="C4" s="52" t="n">
        <v>300</v>
      </c>
      <c r="D4" s="19"/>
      <c r="E4" s="52">
        <f>R11</f>
        <v>230</v>
      </c>
      <c r="F4" s="19">
        <f>ROUND(100*E4/C4,0)</f>
        <v>77</v>
      </c>
      <c r="G4" s="52" t="n">
        <v>565</v>
      </c>
      <c r="I4" s="52">
        <f>R11</f>
        <v>230</v>
      </c>
      <c r="J4" s="52">
        <f>ROUND(100*I4/C4,0)</f>
        <v>77</v>
      </c>
      <c r="K4" s="52"/>
      <c r="L4" s="52" t="n">
        <v>120</v>
      </c>
      <c r="M4" s="52" t="n">
        <v>21</v>
      </c>
      <c r="P4" t="s">
        <v>20</v>
      </c>
      <c r="R4" t="n">
        <v>2344.5</v>
      </c>
      <c r="S4" t="s">
        <v>21</v>
      </c>
    </row>
    <row r="5" spans="1:19">
      <c r="A5" s="19" t="s">
        <v>22</v>
      </c>
      <c r="B5" s="19"/>
      <c r="C5" s="52" t="n">
        <v>1700</v>
      </c>
      <c r="D5" s="19"/>
      <c r="E5" s="52">
        <f>R10</f>
        <v>1343.53999999999996</v>
      </c>
      <c r="F5" s="19">
        <f>ROUND(100*E5/C5,0)</f>
        <v>79</v>
      </c>
      <c r="G5" s="52" t="n">
        <v>2481</v>
      </c>
      <c r="I5" s="52">
        <f>R10</f>
        <v>1343.53999999999996</v>
      </c>
      <c r="J5" s="52">
        <f>ROUND(100*I5/C5,0)</f>
        <v>79</v>
      </c>
      <c r="K5" s="52"/>
      <c r="L5" s="52" t="n">
        <v>435.610000000000014</v>
      </c>
      <c r="M5" s="52" t="n">
        <v>21</v>
      </c>
      <c r="P5" t="s">
        <v>23</v>
      </c>
      <c r="R5" t="n">
        <v>238.090000000000003</v>
      </c>
      <c r="S5" t="s">
        <v>21</v>
      </c>
    </row>
    <row r="6" spans="1:19">
      <c r="A6" s="19" t="s">
        <v>26</v>
      </c>
      <c r="B6" s="19"/>
      <c r="C6" s="52" t="n">
        <v>7500</v>
      </c>
      <c r="D6" s="19"/>
      <c r="E6" s="52">
        <f>R16</f>
        <v>7811.9200000000028</v>
      </c>
      <c r="F6" s="19">
        <f>ROUND(100*E6/C6,0)</f>
        <v>104</v>
      </c>
      <c r="G6" s="52" t="n">
        <v>6052</v>
      </c>
      <c r="I6" s="52">
        <f>R16</f>
        <v>7811.9200000000028</v>
      </c>
      <c r="J6" s="52">
        <f>ROUND(100*I6/C6,0)</f>
        <v>104</v>
      </c>
      <c r="K6" s="52"/>
      <c r="L6" s="52" t="n">
        <v>3103.5</v>
      </c>
      <c r="M6" s="52" t="n">
        <v>52</v>
      </c>
      <c r="P6" t="s">
        <v>27</v>
      </c>
      <c r="R6" t="n">
        <v>0</v>
      </c>
      <c r="S6" t="s">
        <v>21</v>
      </c>
    </row>
    <row r="7" spans="1:18">
      <c r="A7" s="19" t="s">
        <v>30</v>
      </c>
      <c r="B7" s="19"/>
      <c r="C7" s="52" t="n">
        <v>1600</v>
      </c>
      <c r="D7" s="19"/>
      <c r="E7" s="52">
        <f>R4</f>
        <v>2344.5</v>
      </c>
      <c r="F7" s="19">
        <f>ROUND(100*E7/C7,0)</f>
        <v>147</v>
      </c>
      <c r="G7" s="52" t="n">
        <v>352</v>
      </c>
      <c r="I7" s="52">
        <f>R4</f>
        <v>2344.5</v>
      </c>
      <c r="J7" s="52">
        <f>ROUND(100*I7/C7,0)</f>
        <v>147</v>
      </c>
      <c r="K7" s="52"/>
      <c r="L7" s="52" t="n">
        <v>322</v>
      </c>
      <c r="M7" s="52" t="n">
        <v>161</v>
      </c>
      <c r="P7" t="s">
        <v>34</v>
      </c>
      <c r="R7" t="n">
        <v>567.059999999999945</v>
      </c>
    </row>
    <row r="8" spans="1:18">
      <c r="A8" s="19" t="s">
        <v>33</v>
      </c>
      <c r="B8" s="19"/>
      <c r="C8" s="52" t="n">
        <v>300</v>
      </c>
      <c r="D8" s="19"/>
      <c r="E8" s="52">
        <f>R5</f>
        <v>238.090000000000003</v>
      </c>
      <c r="F8" s="19">
        <f>ROUND(100*E8/C8,0)</f>
        <v>79</v>
      </c>
      <c r="G8" s="52" t="n">
        <v>110</v>
      </c>
      <c r="I8" s="52">
        <f>R5</f>
        <v>238.090000000000003</v>
      </c>
      <c r="J8" s="52">
        <f>ROUND(100*I8/C8,0)</f>
        <v>79</v>
      </c>
      <c r="K8" s="52"/>
      <c r="L8" s="52" t="n">
        <v>75</v>
      </c>
      <c r="M8" s="52" t="n">
        <v>75</v>
      </c>
      <c r="P8" t="s">
        <v>38</v>
      </c>
      <c r="R8" t="n">
        <v>0</v>
      </c>
    </row>
    <row r="9" spans="1:19">
      <c r="A9" s="19" t="s">
        <v>37</v>
      </c>
      <c r="B9" s="19"/>
      <c r="C9" s="52" t="n">
        <v>2800</v>
      </c>
      <c r="D9" s="19"/>
      <c r="E9" s="52">
        <f>R17</f>
        <v>2968.01000000000022</v>
      </c>
      <c r="F9" s="19">
        <f>ROUND(100*E9/C9,0)</f>
        <v>106</v>
      </c>
      <c r="G9" s="52" t="n">
        <v>2416</v>
      </c>
      <c r="I9" s="71">
        <f>R17</f>
        <v>2968.01000000000022</v>
      </c>
      <c r="J9" s="52">
        <f>ROUND(100*I9/C9,0)</f>
        <v>106</v>
      </c>
      <c r="K9" s="52"/>
      <c r="L9" s="52" t="n">
        <v>1569.38999999999965</v>
      </c>
      <c r="M9" s="52" t="n">
        <v>70</v>
      </c>
      <c r="P9" t="s">
        <v>41</v>
      </c>
      <c r="R9" t="n">
        <v>99.0100000000000051</v>
      </c>
      <c r="S9" t="s">
        <v>21</v>
      </c>
    </row>
    <row r="10" spans="1:19">
      <c r="A10" s="19" t="s">
        <v>234</v>
      </c>
      <c r="B10" s="24"/>
      <c r="C10" s="52" t="n">
        <v>1300</v>
      </c>
      <c r="D10" s="24"/>
      <c r="E10" s="52">
        <f>R12-R31</f>
        <v>1784</v>
      </c>
      <c r="F10" s="24">
        <f>ROUND(100*E10/C10,0)</f>
        <v>137</v>
      </c>
      <c r="G10" s="52">
        <f>2321-990</f>
        <v>1331</v>
      </c>
      <c r="I10" s="71">
        <f>R12-R31</f>
        <v>1784</v>
      </c>
      <c r="J10" s="52">
        <f>ROUND(100*I10/C10,0)</f>
        <v>137</v>
      </c>
      <c r="K10" s="52"/>
      <c r="L10" s="52" t="n">
        <v>847</v>
      </c>
      <c r="M10" s="52" t="n">
        <v>47</v>
      </c>
      <c r="P10" t="s">
        <v>44</v>
      </c>
      <c r="R10" t="n">
        <v>1343.53999999999996</v>
      </c>
      <c r="S10" t="s">
        <v>21</v>
      </c>
    </row>
    <row r="11" spans="1:19">
      <c r="A11" s="19" t="s">
        <v>43</v>
      </c>
      <c r="B11" s="19"/>
      <c r="C11" s="52" t="n">
        <v>3400</v>
      </c>
      <c r="D11" s="19"/>
      <c r="E11" s="52">
        <f>R18</f>
        <v>3003.33000000000084</v>
      </c>
      <c r="F11" s="19">
        <f>ROUND(100*E11/C11,0)</f>
        <v>88</v>
      </c>
      <c r="G11" s="52" t="n">
        <v>4454</v>
      </c>
      <c r="I11" s="71">
        <f>R18</f>
        <v>3003.33000000000084</v>
      </c>
      <c r="J11" s="52">
        <f>ROUND(100*I11/C11,0)</f>
        <v>88</v>
      </c>
      <c r="K11" s="52"/>
      <c r="L11" s="52" t="n">
        <v>1990.98000000000002</v>
      </c>
      <c r="M11" s="52" t="n">
        <v>45</v>
      </c>
      <c r="P11" t="s">
        <v>48</v>
      </c>
      <c r="R11" t="n">
        <v>230</v>
      </c>
      <c r="S11" t="s">
        <v>21</v>
      </c>
    </row>
    <row r="12" spans="1:18">
      <c r="A12" s="19" t="s">
        <v>47</v>
      </c>
      <c r="B12" s="19"/>
      <c r="C12" s="52" t="n">
        <v>50</v>
      </c>
      <c r="D12" s="19"/>
      <c r="E12" s="52" t="n">
        <v>25</v>
      </c>
      <c r="F12" s="19">
        <f>ROUND(100*E12/C12,0)</f>
        <v>50</v>
      </c>
      <c r="G12" s="52" t="n">
        <v>48</v>
      </c>
      <c r="I12" s="71" t="n">
        <v>8</v>
      </c>
      <c r="J12" s="52">
        <f>ROUND(100*I12/C12,0)</f>
        <v>16</v>
      </c>
      <c r="K12" s="52"/>
      <c r="L12" s="52" t="n">
        <v>183</v>
      </c>
      <c r="M12" s="52" t="n">
        <v>366</v>
      </c>
      <c r="P12" t="s">
        <v>51</v>
      </c>
      <c r="R12" t="n">
        <v>2663</v>
      </c>
    </row>
    <row r="13" spans="1:18">
      <c r="A13" s="19" t="s">
        <v>41</v>
      </c>
      <c r="B13" s="19"/>
      <c r="C13" s="52" t="n">
        <v>100</v>
      </c>
      <c r="D13" s="19"/>
      <c r="E13" s="52">
        <f>N13</f>
        <v>0</v>
      </c>
      <c r="F13" s="19">
        <f>ROUND(100*E13/C13,0)</f>
        <v>0</v>
      </c>
      <c r="G13" s="52" t="n">
        <v>160</v>
      </c>
      <c r="I13" s="71">
        <f>N13</f>
        <v>0</v>
      </c>
      <c r="J13" s="52">
        <f>ROUND(100*I13/C13,0)</f>
        <v>0</v>
      </c>
      <c r="K13" s="52"/>
      <c r="L13" s="52" t="n">
        <v>17.6000000000000014</v>
      </c>
      <c r="M13" s="52" t="n">
        <v>12</v>
      </c>
      <c r="P13" t="s">
        <v>53</v>
      </c>
      <c r="R13" t="n">
        <v>98951.9199999999983</v>
      </c>
    </row>
    <row r="14" spans="1:18">
      <c r="A14" s="19" t="s">
        <v>27</v>
      </c>
      <c r="B14" s="19"/>
      <c r="C14" s="52" t="n">
        <v>100</v>
      </c>
      <c r="D14" s="19"/>
      <c r="E14" s="52">
        <f>R6</f>
        <v>0</v>
      </c>
      <c r="F14" s="19">
        <f>ROUND(100*E14/C14,0)</f>
        <v>0</v>
      </c>
      <c r="G14" s="52" t="n">
        <v>200</v>
      </c>
      <c r="I14" s="71">
        <f>R6</f>
        <v>0</v>
      </c>
      <c r="J14" s="52">
        <f>ROUND(100*I14/C14,0)</f>
        <v>0</v>
      </c>
      <c r="K14" s="52"/>
      <c r="L14" s="52" t="n">
        <v>0</v>
      </c>
      <c r="M14" s="52" t="n">
        <v>0</v>
      </c>
      <c r="P14" t="s">
        <v>56</v>
      </c>
      <c r="R14" t="n">
        <v>687</v>
      </c>
    </row>
    <row r="15" spans="1:16">
      <c r="A15" s="19" t="s">
        <v>258</v>
      </c>
      <c r="B15" s="19"/>
      <c r="C15" s="52" t="n">
        <v>130</v>
      </c>
      <c r="D15" s="19"/>
      <c r="E15" s="52" t="n">
        <v>140</v>
      </c>
      <c r="F15" s="19">
        <f>ROUND(100*E15/C15,0)</f>
        <v>108</v>
      </c>
      <c r="G15" s="52">
        <f>748-179</f>
        <v>569</v>
      </c>
      <c r="I15" s="71" t="n">
        <v>440</v>
      </c>
      <c r="J15" s="52">
        <f>ROUND(100*I15/C15,0)</f>
        <v>338</v>
      </c>
      <c r="K15" s="52"/>
      <c r="L15" s="52" t="n">
        <v>136</v>
      </c>
      <c r="M15" s="52" t="n">
        <v>25</v>
      </c>
      <c r="P15" t="s">
        <v>59</v>
      </c>
    </row>
    <row r="16" spans="1:19">
      <c r="A16" s="19" t="s">
        <v>236</v>
      </c>
      <c r="B16" s="19"/>
      <c r="C16" s="52" t="n">
        <v>400</v>
      </c>
      <c r="D16" s="19"/>
      <c r="E16" s="52">
        <f>K14-E15</f>
        <v>-140</v>
      </c>
      <c r="F16" s="19">
        <f>ROUND(100*E16/C16,0)</f>
        <v>-35</v>
      </c>
      <c r="G16" s="52" t="n">
        <v>179</v>
      </c>
      <c r="I16" s="71">
        <f>K14-I15</f>
        <v>-440</v>
      </c>
      <c r="J16" s="52">
        <f>ROUND(100*I16/C16,0)</f>
        <v>-110</v>
      </c>
      <c r="K16" s="52"/>
      <c r="L16" s="52" t="n">
        <v>255.669999999999987</v>
      </c>
      <c r="M16" s="52" t="n">
        <v>64</v>
      </c>
      <c r="P16" t="s">
        <v>63</v>
      </c>
      <c r="R16" t="n">
        <v>7811.9200000000028</v>
      </c>
      <c r="S16" t="s">
        <v>21</v>
      </c>
    </row>
    <row r="17" spans="1:19">
      <c r="A17" s="43" t="s">
        <v>259</v>
      </c>
      <c r="B17" s="24"/>
      <c r="C17" s="52"/>
      <c r="D17" s="24"/>
      <c r="E17" s="52"/>
      <c r="F17" s="24"/>
      <c r="I17" s="71" t="n">
        <v>389</v>
      </c>
      <c r="J17" s="52"/>
      <c r="K17" s="52"/>
      <c r="M17" s="52"/>
      <c r="P17" t="s">
        <v>67</v>
      </c>
      <c r="R17" t="n">
        <v>2968.01000000000022</v>
      </c>
      <c r="S17" t="s">
        <v>21</v>
      </c>
    </row>
    <row r="18" spans="1:18">
      <c r="A18" s="19"/>
      <c r="B18" s="49" t="s">
        <v>78</v>
      </c>
      <c r="C18" s="52">
        <f>SUM(C4:C17)</f>
        <v>19680</v>
      </c>
      <c r="D18" s="49"/>
      <c r="E18" s="52">
        <f>SUM(E4:E17)</f>
        <v>19748.3900000000067</v>
      </c>
      <c r="F18" s="24"/>
      <c r="G18" s="52">
        <f>SUM(G4:G17)</f>
        <v>18917</v>
      </c>
      <c r="I18" s="52">
        <f>SUM(I4:I17)</f>
        <v>20120.3900000000067</v>
      </c>
      <c r="J18" s="52">
        <f>ROUND(100*I18/C18,0)</f>
        <v>102</v>
      </c>
      <c r="K18" s="52"/>
      <c r="L18" s="52" t="n">
        <v>9055.75</v>
      </c>
      <c r="M18" s="52" t="n">
        <v>48</v>
      </c>
      <c r="P18" t="s">
        <v>71</v>
      </c>
      <c r="R18" t="n">
        <v>3003.33000000000084</v>
      </c>
    </row>
    <row r="19" spans="1:18">
      <c r="A19" s="19"/>
      <c r="B19" s="49"/>
      <c r="C19" s="52"/>
      <c r="D19" s="49"/>
      <c r="E19" s="52"/>
      <c r="F19" s="24"/>
      <c r="G19" s="52"/>
      <c r="I19" s="52"/>
      <c r="J19" s="52"/>
      <c r="K19" s="52"/>
      <c r="L19" s="52"/>
      <c r="M19" s="52"/>
      <c r="P19" t="s">
        <v>74</v>
      </c>
      <c r="R19" t="n">
        <v>80</v>
      </c>
    </row>
    <row r="20" spans="1:13">
      <c r="A20" s="65" t="s">
        <v>237</v>
      </c>
      <c r="B20" s="49"/>
      <c r="C20" s="52"/>
      <c r="D20" s="49"/>
      <c r="E20" s="52"/>
      <c r="F20" s="24"/>
      <c r="G20" s="52"/>
      <c r="I20" s="52"/>
      <c r="J20" s="52"/>
      <c r="K20" s="52"/>
      <c r="L20" s="52"/>
      <c r="M20" s="52"/>
    </row>
    <row r="21" spans="1:18">
      <c r="A21" s="19" t="s">
        <v>244</v>
      </c>
      <c r="B21" s="19"/>
      <c r="C21" s="19"/>
      <c r="D21" s="19"/>
      <c r="E21" s="52"/>
      <c r="F21" s="24"/>
      <c r="R21" t="n">
        <v>139661.310000000027</v>
      </c>
    </row>
    <row r="22" spans="1:6">
      <c r="A22" s="19" t="s">
        <v>239</v>
      </c>
      <c r="B22" s="19"/>
      <c r="C22" s="19"/>
      <c r="D22" s="19"/>
      <c r="E22" s="52"/>
      <c r="F22" s="24"/>
    </row>
    <row r="23" spans="1:6">
      <c r="A23" s="19"/>
      <c r="B23" s="19"/>
      <c r="C23" s="19"/>
      <c r="D23" s="19"/>
      <c r="E23" s="52"/>
      <c r="F23" s="24"/>
    </row>
    <row r="24" spans="1:6">
      <c r="A24" s="19"/>
      <c r="B24" s="19"/>
      <c r="C24" s="19"/>
      <c r="D24" s="19"/>
      <c r="E24" s="52"/>
      <c r="F24" s="24"/>
    </row>
    <row r="25" spans="1:6">
      <c r="A25" s="19"/>
      <c r="B25" s="19"/>
      <c r="C25" s="19"/>
      <c r="D25" s="19"/>
      <c r="E25" s="52"/>
      <c r="F25" s="24"/>
    </row>
    <row r="26" spans="1:6">
      <c r="A26" s="19"/>
      <c r="B26" s="19"/>
      <c r="C26" s="19"/>
      <c r="D26" s="19"/>
      <c r="E26" s="52"/>
      <c r="F26" s="24"/>
    </row>
    <row r="27" spans="1:6">
      <c r="A27" s="19"/>
      <c r="B27" s="19"/>
      <c r="C27" s="19"/>
      <c r="D27" s="19"/>
      <c r="E27" s="52"/>
      <c r="F27" s="19"/>
    </row>
    <row r="28" spans="1:18">
      <c r="A28" s="47" t="s">
        <v>87</v>
      </c>
      <c r="B28" s="19"/>
      <c r="C28" s="48" t="s">
        <v>8</v>
      </c>
      <c r="D28" s="19"/>
      <c r="E28" s="53" t="s">
        <v>8</v>
      </c>
      <c r="F28" s="48"/>
      <c r="G28" s="53" t="s">
        <v>8</v>
      </c>
      <c r="I28" s="48" t="s">
        <v>8</v>
      </c>
      <c r="L28" s="48" t="s">
        <v>8</v>
      </c>
      <c r="P28" t="s">
        <v>11</v>
      </c>
      <c r="R28" t="n">
        <v>420.170000000000073</v>
      </c>
    </row>
    <row r="29" spans="1:18">
      <c r="A29" s="19" t="s">
        <v>88</v>
      </c>
      <c r="B29" s="19"/>
      <c r="C29" s="52" t="n">
        <v>11530</v>
      </c>
      <c r="D29" s="19"/>
      <c r="E29" s="52" t="n">
        <v>11534</v>
      </c>
      <c r="F29" s="24"/>
      <c r="G29" s="52" t="n">
        <v>11466</v>
      </c>
      <c r="I29" s="52">
        <f>R30</f>
        <v>11532.6399999999994</v>
      </c>
      <c r="J29" s="52">
        <f>ROUND(100*I29/C29,0)</f>
        <v>100</v>
      </c>
      <c r="K29" s="52"/>
      <c r="L29" s="52" t="n">
        <v>5767.15000000000146</v>
      </c>
      <c r="M29" s="52" t="n">
        <v>49</v>
      </c>
      <c r="P29" t="s">
        <v>98</v>
      </c>
      <c r="R29" t="n">
        <v>75</v>
      </c>
    </row>
    <row r="30" spans="1:18">
      <c r="A30" s="19" t="s">
        <v>94</v>
      </c>
      <c r="B30" s="19"/>
      <c r="C30" s="52" t="n">
        <v>4150</v>
      </c>
      <c r="D30" s="19"/>
      <c r="E30" s="52" t="n">
        <v>4314</v>
      </c>
      <c r="F30" s="24"/>
      <c r="G30" s="52" t="n">
        <v>4303</v>
      </c>
      <c r="I30" s="52">
        <f>R36</f>
        <v>4163.47999999999956</v>
      </c>
      <c r="J30" s="52">
        <f>ROUND(100*I30/C30,0)</f>
        <v>100</v>
      </c>
      <c r="K30" s="52"/>
      <c r="L30" s="52" t="n">
        <v>2184.42000000000007</v>
      </c>
      <c r="M30" s="52" t="n">
        <v>50</v>
      </c>
      <c r="P30" t="s">
        <v>101</v>
      </c>
      <c r="R30" t="n">
        <v>11532.6399999999994</v>
      </c>
    </row>
    <row r="31" spans="1:18">
      <c r="A31" s="19" t="s">
        <v>97</v>
      </c>
      <c r="B31" s="19"/>
      <c r="C31" s="52" t="n">
        <v>1900</v>
      </c>
      <c r="D31" s="19"/>
      <c r="E31" s="52" t="n">
        <v>1820</v>
      </c>
      <c r="F31" s="24"/>
      <c r="G31" s="52" t="n">
        <v>2139</v>
      </c>
      <c r="I31" s="52">
        <f>R33</f>
        <v>2164.80999999999995</v>
      </c>
      <c r="J31" s="52">
        <f>ROUND(100*I31/C31,0)</f>
        <v>114</v>
      </c>
      <c r="K31" s="52"/>
      <c r="L31" s="52" t="n">
        <v>1454.48000000000002</v>
      </c>
      <c r="M31" s="52" t="n">
        <v>61</v>
      </c>
      <c r="P31" t="s">
        <v>103</v>
      </c>
      <c r="R31" t="n">
        <v>879</v>
      </c>
    </row>
    <row r="32" spans="1:18">
      <c r="A32" s="19" t="s">
        <v>100</v>
      </c>
      <c r="B32" s="19"/>
      <c r="C32" s="52" t="n">
        <v>2000</v>
      </c>
      <c r="D32" s="19"/>
      <c r="E32" s="52" t="n">
        <v>2410</v>
      </c>
      <c r="F32" s="24"/>
      <c r="G32" s="52" t="n">
        <v>1192</v>
      </c>
      <c r="I32" s="52">
        <f>R34</f>
        <v>1068.04999999999995</v>
      </c>
      <c r="J32" s="52">
        <f>ROUND(100*I32/C32,0)</f>
        <v>53</v>
      </c>
      <c r="K32" s="52"/>
      <c r="L32" s="52" t="n">
        <v>1652.61999999999966</v>
      </c>
      <c r="M32" s="52" t="n">
        <v>83</v>
      </c>
      <c r="P32" t="s">
        <v>105</v>
      </c>
      <c r="R32" t="n">
        <v>519.100000000000023</v>
      </c>
    </row>
    <row r="33" spans="1:18">
      <c r="A33" s="19" t="s">
        <v>98</v>
      </c>
      <c r="B33" s="19"/>
      <c r="C33" s="52" t="n">
        <v>75</v>
      </c>
      <c r="D33" s="19"/>
      <c r="E33" s="52" t="n">
        <v>75</v>
      </c>
      <c r="F33" s="24"/>
      <c r="G33" s="60" t="n">
        <v>75</v>
      </c>
      <c r="I33" s="52">
        <f>R29</f>
        <v>75</v>
      </c>
      <c r="J33" s="52">
        <f>ROUND(100*I33/C33,0)</f>
        <v>100</v>
      </c>
      <c r="K33" s="52"/>
      <c r="L33" s="52" t="n">
        <v>37.5</v>
      </c>
      <c r="M33" s="52" t="n">
        <v>50</v>
      </c>
      <c r="P33" t="s">
        <v>106</v>
      </c>
      <c r="R33" t="n">
        <v>2164.80999999999995</v>
      </c>
    </row>
    <row r="34" spans="1:18">
      <c r="A34" s="19" t="s">
        <v>91</v>
      </c>
      <c r="B34" s="19"/>
      <c r="C34" s="52" t="n">
        <v>500</v>
      </c>
      <c r="D34" s="19"/>
      <c r="E34" s="52" t="n">
        <v>650</v>
      </c>
      <c r="F34" s="24"/>
      <c r="G34" s="52" t="n">
        <v>1102</v>
      </c>
      <c r="I34" s="52">
        <f>R32</f>
        <v>519.100000000000023</v>
      </c>
      <c r="J34" s="52">
        <f>ROUND(100*I34/C34,0)</f>
        <v>104</v>
      </c>
      <c r="K34" s="52"/>
      <c r="L34" s="52" t="n">
        <v>150</v>
      </c>
      <c r="M34" s="52" t="n">
        <v>30</v>
      </c>
      <c r="P34" t="s">
        <v>100</v>
      </c>
      <c r="R34" t="n">
        <v>1068.04999999999995</v>
      </c>
    </row>
    <row r="35" spans="1:18">
      <c r="A35" s="19" t="s">
        <v>240</v>
      </c>
      <c r="B35" s="19"/>
      <c r="C35" s="52" t="n">
        <v>120</v>
      </c>
      <c r="D35" s="19"/>
      <c r="E35" s="52" t="n">
        <v>120</v>
      </c>
      <c r="F35" s="24"/>
      <c r="G35" s="52" t="n">
        <v>176</v>
      </c>
      <c r="I35" s="52">
        <f>R28</f>
        <v>420.170000000000073</v>
      </c>
      <c r="J35" s="52">
        <f>ROUND(100*I35/C35,0)</f>
        <v>350</v>
      </c>
      <c r="K35" s="52"/>
      <c r="L35" s="52" t="n">
        <v>38</v>
      </c>
      <c r="M35" s="52" t="n">
        <v>25</v>
      </c>
      <c r="P35" t="s">
        <v>108</v>
      </c>
      <c r="R35" t="n">
        <v>60</v>
      </c>
    </row>
    <row r="36" spans="1:18">
      <c r="A36" s="19"/>
      <c r="B36" s="19"/>
      <c r="C36" s="52"/>
      <c r="D36" s="19"/>
      <c r="E36" s="52"/>
      <c r="F36" s="24"/>
      <c r="G36" s="24"/>
      <c r="I36" s="52"/>
      <c r="J36" s="52"/>
      <c r="K36" s="52"/>
      <c r="L36" s="52"/>
      <c r="M36" s="52"/>
      <c r="P36" t="s">
        <v>94</v>
      </c>
      <c r="R36" t="n">
        <v>4163.47999999999956</v>
      </c>
    </row>
    <row r="37" spans="1:18">
      <c r="A37" s="19"/>
      <c r="B37" s="25" t="s">
        <v>109</v>
      </c>
      <c r="C37" s="52" t="n">
        <v>20275</v>
      </c>
      <c r="D37" s="25"/>
      <c r="E37" s="52">
        <f>SUM(E29:E36)</f>
        <v>20923</v>
      </c>
      <c r="F37" s="24"/>
      <c r="G37" s="52">
        <f>SUM(G29:G36)</f>
        <v>20453</v>
      </c>
      <c r="I37" s="52">
        <f>SUM(I29:I36)</f>
        <v>19943.25</v>
      </c>
      <c r="J37" s="52">
        <f>ROUND(100*I37/C37,0)</f>
        <v>98</v>
      </c>
      <c r="K37" s="52"/>
      <c r="L37" s="52" t="n">
        <v>11284.1700000000001</v>
      </c>
      <c r="M37" s="52" t="n">
        <v>53</v>
      </c>
      <c r="P37" t="s">
        <v>110</v>
      </c>
      <c r="R37" t="n">
        <v>90633.4900000000052</v>
      </c>
    </row>
    <row r="38" spans="1:13">
      <c r="A38" s="19"/>
      <c r="B38" s="19"/>
      <c r="C38" s="19"/>
      <c r="D38" s="19"/>
      <c r="E38" s="52"/>
      <c r="F38" s="19"/>
      <c r="M38" s="9"/>
    </row>
    <row r="39" spans="1:13">
      <c r="A39" s="19" t="s">
        <v>112</v>
      </c>
      <c r="B39" s="19"/>
      <c r="C39" s="52">
        <f>C18-C37</f>
        <v>-595</v>
      </c>
      <c r="D39" s="19"/>
      <c r="E39" s="52">
        <f>E18-E37</f>
        <v>-1174.61000000000058</v>
      </c>
      <c r="F39" s="24"/>
      <c r="G39" s="52">
        <f>G18-G37</f>
        <v>-1536</v>
      </c>
      <c r="I39" s="52">
        <f>I18-I37</f>
        <v>177.139999999999418</v>
      </c>
      <c r="M39" s="9"/>
    </row>
    <row r="40" spans="13:18">
      <c r="M40" s="9"/>
      <c r="R40" t="n">
        <v>111515.740000000005</v>
      </c>
    </row>
  </sheetData>
  <printOptions>
    <extLst>
      <ext uri="smNativeData">
        <pm:pageFlags xmlns:pm="smNativeData" id="16828037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1" fitToHeight="1" pageOrder="overThenDown"/>
  <headerFooter>
    <extLst>
      <ext uri="smNativeData">
        <pm:header xmlns:pm="smNativeData" id="1682803789" l="56" r="56" t="56" b="56" borderId="0" fillId="0" vertical="0"/>
        <pm:footer xmlns:pm="smNativeData" id="1682803789" l="56" r="56" t="56" b="56" borderId="0" fillId="0" vertical="2"/>
        <pm:paperBin xmlns:pm="smNativeData" id="1682803789" Id="0" type="0" value="0"/>
        <pm:paperBin xmlns:pm="smNativeData" id="1682803789" Id="1" type="0" value="0"/>
      </ext>
    </extLst>
  </headerFooter>
  <extLst>
    <ext uri="smNativeData">
      <pm:sheetPrefs xmlns:pm="smNativeData" day="1682803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Smalls</cp:lastModifiedBy>
  <cp:revision>0</cp:revision>
  <dcterms:created xsi:type="dcterms:W3CDTF">2021-03-12T22:23:31Z</dcterms:created>
  <dcterms:modified xsi:type="dcterms:W3CDTF">2023-04-29T21:29:49Z</dcterms:modified>
</cp:coreProperties>
</file>